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1220" yWindow="1000" windowWidth="20840" windowHeight="15840" tabRatio="825"/>
  </bookViews>
  <sheets>
    <sheet name="Cpk" sheetId="19" r:id="rId1"/>
  </sheets>
  <definedNames>
    <definedName name="_xlnm.Print_Area" localSheetId="0">Cpk!$A$3:$M$63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9" l="1"/>
  <c r="D24" i="19"/>
  <c r="H62" i="19"/>
  <c r="H60" i="19"/>
  <c r="H59" i="19"/>
  <c r="H58" i="19"/>
  <c r="G59" i="19"/>
  <c r="G60" i="19"/>
  <c r="G62" i="19"/>
  <c r="G61" i="19"/>
  <c r="H61" i="19"/>
  <c r="H57" i="19"/>
  <c r="H56" i="19"/>
  <c r="G58" i="19"/>
  <c r="G57" i="19"/>
  <c r="G56" i="19"/>
  <c r="K79" i="19"/>
  <c r="K72" i="19"/>
  <c r="K7" i="19"/>
  <c r="D21" i="19"/>
  <c r="J22" i="19"/>
  <c r="J21" i="19"/>
  <c r="J23" i="19"/>
  <c r="J24" i="19"/>
  <c r="D23" i="19"/>
  <c r="D25" i="19"/>
  <c r="L26" i="19"/>
  <c r="A82" i="19"/>
  <c r="B82" i="19"/>
  <c r="C82" i="19"/>
  <c r="A67" i="19"/>
  <c r="J26" i="19"/>
  <c r="K26" i="19"/>
  <c r="K27" i="19"/>
  <c r="A68" i="19"/>
  <c r="A96" i="19"/>
  <c r="A81" i="19"/>
  <c r="A86" i="19"/>
  <c r="A87" i="19"/>
  <c r="A88" i="19"/>
  <c r="A89" i="19"/>
  <c r="A91" i="19"/>
  <c r="A92" i="19"/>
  <c r="A93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3" i="19"/>
  <c r="A84" i="19"/>
  <c r="A85" i="19"/>
  <c r="A90" i="19"/>
  <c r="A94" i="19"/>
  <c r="A95" i="19"/>
  <c r="C94" i="19"/>
  <c r="B94" i="19"/>
  <c r="B83" i="19"/>
  <c r="C83" i="19"/>
  <c r="D83" i="19"/>
  <c r="C77" i="19"/>
  <c r="B77" i="19"/>
  <c r="C73" i="19"/>
  <c r="B73" i="19"/>
  <c r="C69" i="19"/>
  <c r="B69" i="19"/>
  <c r="B92" i="19"/>
  <c r="C92" i="19"/>
  <c r="B87" i="19"/>
  <c r="C87" i="19"/>
  <c r="C81" i="19"/>
  <c r="B81" i="19"/>
  <c r="C68" i="19"/>
  <c r="D68" i="19"/>
  <c r="B68" i="19"/>
  <c r="B85" i="19"/>
  <c r="C85" i="19"/>
  <c r="C79" i="19"/>
  <c r="B79" i="19"/>
  <c r="C75" i="19"/>
  <c r="B75" i="19"/>
  <c r="C71" i="19"/>
  <c r="B71" i="19"/>
  <c r="C89" i="19"/>
  <c r="C88" i="19"/>
  <c r="D89" i="19"/>
  <c r="B89" i="19"/>
  <c r="B95" i="19"/>
  <c r="C95" i="19"/>
  <c r="D95" i="19"/>
  <c r="B90" i="19"/>
  <c r="C90" i="19"/>
  <c r="B84" i="19"/>
  <c r="C84" i="19"/>
  <c r="D84" i="19"/>
  <c r="C80" i="19"/>
  <c r="D80" i="19"/>
  <c r="B80" i="19"/>
  <c r="C78" i="19"/>
  <c r="D78" i="19"/>
  <c r="B78" i="19"/>
  <c r="C76" i="19"/>
  <c r="D76" i="19"/>
  <c r="B76" i="19"/>
  <c r="C74" i="19"/>
  <c r="D74" i="19"/>
  <c r="B74" i="19"/>
  <c r="C72" i="19"/>
  <c r="D72" i="19"/>
  <c r="B72" i="19"/>
  <c r="C70" i="19"/>
  <c r="D70" i="19"/>
  <c r="B70" i="19"/>
  <c r="C93" i="19"/>
  <c r="D93" i="19"/>
  <c r="B93" i="19"/>
  <c r="B91" i="19"/>
  <c r="C91" i="19"/>
  <c r="D91" i="19"/>
  <c r="B88" i="19"/>
  <c r="D88" i="19"/>
  <c r="B86" i="19"/>
  <c r="C86" i="19"/>
  <c r="D86" i="19"/>
  <c r="C96" i="19"/>
  <c r="D96" i="19"/>
  <c r="B96" i="19"/>
  <c r="D81" i="19"/>
  <c r="D82" i="19"/>
  <c r="D71" i="19"/>
  <c r="D79" i="19"/>
  <c r="D69" i="19"/>
  <c r="D73" i="19"/>
  <c r="D77" i="19"/>
  <c r="D94" i="19"/>
  <c r="D75" i="19"/>
  <c r="D90" i="19"/>
  <c r="D85" i="19"/>
  <c r="D87" i="19"/>
  <c r="D92" i="19"/>
</calcChain>
</file>

<file path=xl/sharedStrings.xml><?xml version="1.0" encoding="utf-8"?>
<sst xmlns="http://schemas.openxmlformats.org/spreadsheetml/2006/main" count="57" uniqueCount="50">
  <si>
    <t xml:space="preserve"> </t>
  </si>
  <si>
    <t xml:space="preserve">Quantità:  </t>
  </si>
  <si>
    <t>Caratteristica:</t>
  </si>
  <si>
    <t>.</t>
  </si>
  <si>
    <t>Val. Nominale</t>
  </si>
  <si>
    <t>Sigma</t>
  </si>
  <si>
    <t>Tolleranza naturale</t>
  </si>
  <si>
    <t>Valore minimo</t>
  </si>
  <si>
    <t>Valore medio</t>
  </si>
  <si>
    <t>Valore massimo</t>
  </si>
  <si>
    <t>Cpk (Cmk) desiderato</t>
  </si>
  <si>
    <t>Data:</t>
  </si>
  <si>
    <t>A</t>
  </si>
  <si>
    <t>B</t>
  </si>
  <si>
    <t>C</t>
  </si>
  <si>
    <t>B = valori della funzione di Gauss (asse verticale)</t>
  </si>
  <si>
    <t>A = valori in ordinata (asse orizzontale)</t>
  </si>
  <si>
    <t>C = valori dei campioni riportati in istogramma (riportato in colore verde)</t>
  </si>
  <si>
    <t>calcoli per la costruzione del grafico</t>
  </si>
  <si>
    <t>NOTA: i dati delle caselle grigie sono impostabili, tutte le altre caselle sono calcolate</t>
  </si>
  <si>
    <t>peso in grammi</t>
  </si>
  <si>
    <t>DENOMINAZIONE PRODOTTO</t>
  </si>
  <si>
    <t>Azienda</t>
  </si>
  <si>
    <t>=sigma/4</t>
  </si>
  <si>
    <t>±3sigma</t>
  </si>
  <si>
    <t>±1sigma</t>
  </si>
  <si>
    <t>±2sigma</t>
  </si>
  <si>
    <t>±6sigma</t>
  </si>
  <si>
    <t>±4sigma</t>
  </si>
  <si>
    <t>±5sigma</t>
  </si>
  <si>
    <t>±7sigma</t>
  </si>
  <si>
    <t>livello</t>
  </si>
  <si>
    <t>Cpk</t>
  </si>
  <si>
    <t xml:space="preserve">Pressa </t>
  </si>
  <si>
    <t>pezzi buoni</t>
  </si>
  <si>
    <t>dentro intervallo</t>
  </si>
  <si>
    <t>tolleranza naturale</t>
  </si>
  <si>
    <t>intervallo</t>
  </si>
  <si>
    <t>scarti fuori intervallo</t>
  </si>
  <si>
    <t>val.max</t>
  </si>
  <si>
    <t>val.min</t>
  </si>
  <si>
    <t>pezzi per milione</t>
  </si>
  <si>
    <t>sistema 6 sigma</t>
  </si>
  <si>
    <t>Cpk (Cmk) effettivo</t>
  </si>
  <si>
    <t>Lim. Superiore riferimento</t>
  </si>
  <si>
    <t>Limite Inferiore riferimento</t>
  </si>
  <si>
    <t>Tolleranza riferimento %</t>
  </si>
  <si>
    <t>Tolleranza di riferimento</t>
  </si>
  <si>
    <t>relativo</t>
  </si>
  <si>
    <t>VALORI MISURATI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</si>
</sst>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%"/>
    <numFmt numFmtId="167" formatCode="0.000%"/>
    <numFmt numFmtId="168" formatCode="0.00000%"/>
    <numFmt numFmtId="169" formatCode="0.000000%"/>
  </numFmts>
  <fonts count="18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2"/>
      <name val="MS Sans Serif"/>
    </font>
    <font>
      <sz val="12"/>
      <name val="Times New Roman"/>
    </font>
    <font>
      <sz val="8"/>
      <name val="MS Sans Serif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2"/>
      <color indexed="17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7"/>
      <name val="MS Sans Serif"/>
    </font>
    <font>
      <sz val="10"/>
      <color indexed="18"/>
      <name val="MS Sans Serif"/>
    </font>
    <font>
      <sz val="10"/>
      <color indexed="12"/>
      <name val="MS Sans Serif"/>
    </font>
    <font>
      <b/>
      <sz val="10"/>
      <color indexed="12"/>
      <name val="MS Sans Serif"/>
      <family val="2"/>
    </font>
    <font>
      <sz val="10"/>
      <name val="MS Sans Serif"/>
      <family val="2"/>
    </font>
    <font>
      <b/>
      <sz val="10"/>
      <color indexed="14"/>
      <name val="MS Sans Serif"/>
      <family val="2"/>
    </font>
    <font>
      <u/>
      <sz val="10"/>
      <color theme="10"/>
      <name val="MS Sans Serif"/>
    </font>
    <font>
      <u/>
      <sz val="10"/>
      <color theme="11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4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/>
    <xf numFmtId="0" fontId="4" fillId="0" borderId="0" xfId="0" quotePrefix="1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left"/>
    </xf>
    <xf numFmtId="2" fontId="0" fillId="0" borderId="0" xfId="0" applyNumberFormat="1" applyBorder="1"/>
    <xf numFmtId="2" fontId="1" fillId="0" borderId="0" xfId="0" applyNumberFormat="1" applyFont="1" applyBorder="1"/>
    <xf numFmtId="0" fontId="6" fillId="0" borderId="0" xfId="0" quotePrefix="1" applyFont="1" applyBorder="1" applyAlignment="1">
      <alignment horizontal="center"/>
    </xf>
    <xf numFmtId="0" fontId="8" fillId="0" borderId="0" xfId="0" applyFont="1"/>
    <xf numFmtId="0" fontId="9" fillId="0" borderId="5" xfId="0" quotePrefix="1" applyFont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1" fillId="0" borderId="4" xfId="0" applyFont="1" applyBorder="1"/>
    <xf numFmtId="2" fontId="10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2" fontId="6" fillId="0" borderId="0" xfId="0" applyNumberFormat="1" applyFont="1" applyBorder="1" applyAlignment="1">
      <alignment horizontal="right"/>
    </xf>
    <xf numFmtId="164" fontId="12" fillId="0" borderId="0" xfId="0" applyNumberFormat="1" applyFont="1" applyBorder="1"/>
    <xf numFmtId="0" fontId="12" fillId="0" borderId="0" xfId="0" applyFont="1" applyBorder="1"/>
    <xf numFmtId="2" fontId="12" fillId="0" borderId="0" xfId="0" applyNumberFormat="1" applyFont="1" applyBorder="1"/>
    <xf numFmtId="164" fontId="12" fillId="0" borderId="0" xfId="0" quotePrefix="1" applyNumberFormat="1" applyFont="1" applyBorder="1" applyAlignment="1">
      <alignment horizontal="left"/>
    </xf>
    <xf numFmtId="164" fontId="12" fillId="0" borderId="0" xfId="0" applyNumberFormat="1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0" xfId="0" applyBorder="1"/>
    <xf numFmtId="0" fontId="14" fillId="0" borderId="0" xfId="0" applyFont="1"/>
    <xf numFmtId="0" fontId="3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0" fontId="6" fillId="2" borderId="10" xfId="0" applyNumberFormat="1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1" fillId="0" borderId="0" xfId="0" applyNumberFormat="1" applyFont="1" applyBorder="1"/>
    <xf numFmtId="0" fontId="0" fillId="0" borderId="0" xfId="0" quotePrefix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Border="1"/>
    <xf numFmtId="0" fontId="0" fillId="0" borderId="17" xfId="0" applyBorder="1" applyAlignment="1">
      <alignment horizontal="center"/>
    </xf>
    <xf numFmtId="0" fontId="0" fillId="0" borderId="15" xfId="0" applyBorder="1"/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3" fillId="3" borderId="0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3" fillId="0" borderId="0" xfId="0" quotePrefix="1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0" fillId="0" borderId="15" xfId="0" applyNumberFormat="1" applyBorder="1" applyAlignment="1">
      <alignment horizontal="center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r>
              <a:rPr lang="it-IT"/>
              <a:t>Istogramma e curva di distribuzione</a:t>
            </a:r>
          </a:p>
        </c:rich>
      </c:tx>
      <c:layout>
        <c:manualLayout>
          <c:xMode val="edge"/>
          <c:yMode val="edge"/>
          <c:x val="0.25549957616126"/>
          <c:y val="0.031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43512127737"/>
          <c:y val="0.213942307692308"/>
          <c:w val="0.802031782122102"/>
          <c:h val="0.5889423076923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Cpk!$A$68:$A$96</c:f>
              <c:numCache>
                <c:formatCode>0.00</c:formatCode>
                <c:ptCount val="29"/>
                <c:pt idx="0">
                  <c:v>87.0943723891311</c:v>
                </c:pt>
                <c:pt idx="1">
                  <c:v>87.13362717518882</c:v>
                </c:pt>
                <c:pt idx="2">
                  <c:v>87.17288196124656</c:v>
                </c:pt>
                <c:pt idx="3">
                  <c:v>87.21213674730428</c:v>
                </c:pt>
                <c:pt idx="4">
                  <c:v>87.25139153336202</c:v>
                </c:pt>
                <c:pt idx="5">
                  <c:v>87.29064631941975</c:v>
                </c:pt>
                <c:pt idx="6">
                  <c:v>87.32990110547749</c:v>
                </c:pt>
                <c:pt idx="7">
                  <c:v>87.36915589153521</c:v>
                </c:pt>
                <c:pt idx="8">
                  <c:v>87.40841067759294</c:v>
                </c:pt>
                <c:pt idx="9">
                  <c:v>87.44766546365067</c:v>
                </c:pt>
                <c:pt idx="10">
                  <c:v>87.4869202497084</c:v>
                </c:pt>
                <c:pt idx="11">
                  <c:v>87.52617503576614</c:v>
                </c:pt>
                <c:pt idx="12">
                  <c:v>87.56542982182387</c:v>
                </c:pt>
                <c:pt idx="13">
                  <c:v>87.60468460788161</c:v>
                </c:pt>
                <c:pt idx="14">
                  <c:v>87.64393939393933</c:v>
                </c:pt>
                <c:pt idx="15">
                  <c:v>87.68319417999705</c:v>
                </c:pt>
                <c:pt idx="16">
                  <c:v>87.7224489660548</c:v>
                </c:pt>
                <c:pt idx="17">
                  <c:v>87.76170375211252</c:v>
                </c:pt>
                <c:pt idx="18">
                  <c:v>87.80095853817026</c:v>
                </c:pt>
                <c:pt idx="19">
                  <c:v>87.84021332422798</c:v>
                </c:pt>
                <c:pt idx="20">
                  <c:v>87.87946811028573</c:v>
                </c:pt>
                <c:pt idx="21">
                  <c:v>87.91872289634345</c:v>
                </c:pt>
                <c:pt idx="22">
                  <c:v>87.95797768240118</c:v>
                </c:pt>
                <c:pt idx="23">
                  <c:v>87.99723246845891</c:v>
                </c:pt>
                <c:pt idx="24">
                  <c:v>88.03648725451664</c:v>
                </c:pt>
                <c:pt idx="25">
                  <c:v>88.07574204057438</c:v>
                </c:pt>
                <c:pt idx="26">
                  <c:v>88.11499682663211</c:v>
                </c:pt>
                <c:pt idx="27">
                  <c:v>88.15425161268985</c:v>
                </c:pt>
                <c:pt idx="28">
                  <c:v>88.19350639874757</c:v>
                </c:pt>
              </c:numCache>
            </c:numRef>
          </c:cat>
          <c:val>
            <c:numRef>
              <c:f>Cpk!$D$68:$D$96</c:f>
              <c:numCache>
                <c:formatCode>General</c:formatCode>
                <c:ptCount val="2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4.0</c:v>
                </c:pt>
                <c:pt idx="7">
                  <c:v>0.0</c:v>
                </c:pt>
                <c:pt idx="8">
                  <c:v>2.0</c:v>
                </c:pt>
                <c:pt idx="9">
                  <c:v>0.0</c:v>
                </c:pt>
                <c:pt idx="10">
                  <c:v>0.0</c:v>
                </c:pt>
                <c:pt idx="11">
                  <c:v>13.0</c:v>
                </c:pt>
                <c:pt idx="12">
                  <c:v>0.0</c:v>
                </c:pt>
                <c:pt idx="13">
                  <c:v>11.0</c:v>
                </c:pt>
                <c:pt idx="14">
                  <c:v>0.0</c:v>
                </c:pt>
                <c:pt idx="15">
                  <c:v>0.0</c:v>
                </c:pt>
                <c:pt idx="16">
                  <c:v>21.0</c:v>
                </c:pt>
                <c:pt idx="17">
                  <c:v>0.0</c:v>
                </c:pt>
                <c:pt idx="18">
                  <c:v>8.0</c:v>
                </c:pt>
                <c:pt idx="19">
                  <c:v>0.0</c:v>
                </c:pt>
                <c:pt idx="20">
                  <c:v>0.0</c:v>
                </c:pt>
                <c:pt idx="21">
                  <c:v>7.0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5730968"/>
        <c:axId val="20757350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Cpk!$A$68:$A$96</c:f>
              <c:numCache>
                <c:formatCode>0.00</c:formatCode>
                <c:ptCount val="29"/>
                <c:pt idx="0">
                  <c:v>87.0943723891311</c:v>
                </c:pt>
                <c:pt idx="1">
                  <c:v>87.13362717518882</c:v>
                </c:pt>
                <c:pt idx="2">
                  <c:v>87.17288196124656</c:v>
                </c:pt>
                <c:pt idx="3">
                  <c:v>87.21213674730428</c:v>
                </c:pt>
                <c:pt idx="4">
                  <c:v>87.25139153336202</c:v>
                </c:pt>
                <c:pt idx="5">
                  <c:v>87.29064631941975</c:v>
                </c:pt>
                <c:pt idx="6">
                  <c:v>87.32990110547749</c:v>
                </c:pt>
                <c:pt idx="7">
                  <c:v>87.36915589153521</c:v>
                </c:pt>
                <c:pt idx="8">
                  <c:v>87.40841067759294</c:v>
                </c:pt>
                <c:pt idx="9">
                  <c:v>87.44766546365067</c:v>
                </c:pt>
                <c:pt idx="10">
                  <c:v>87.4869202497084</c:v>
                </c:pt>
                <c:pt idx="11">
                  <c:v>87.52617503576614</c:v>
                </c:pt>
                <c:pt idx="12">
                  <c:v>87.56542982182387</c:v>
                </c:pt>
                <c:pt idx="13">
                  <c:v>87.60468460788161</c:v>
                </c:pt>
                <c:pt idx="14">
                  <c:v>87.64393939393933</c:v>
                </c:pt>
                <c:pt idx="15">
                  <c:v>87.68319417999705</c:v>
                </c:pt>
                <c:pt idx="16">
                  <c:v>87.7224489660548</c:v>
                </c:pt>
                <c:pt idx="17">
                  <c:v>87.76170375211252</c:v>
                </c:pt>
                <c:pt idx="18">
                  <c:v>87.80095853817026</c:v>
                </c:pt>
                <c:pt idx="19">
                  <c:v>87.84021332422798</c:v>
                </c:pt>
                <c:pt idx="20">
                  <c:v>87.87946811028573</c:v>
                </c:pt>
                <c:pt idx="21">
                  <c:v>87.91872289634345</c:v>
                </c:pt>
                <c:pt idx="22">
                  <c:v>87.95797768240118</c:v>
                </c:pt>
                <c:pt idx="23">
                  <c:v>87.99723246845891</c:v>
                </c:pt>
                <c:pt idx="24">
                  <c:v>88.03648725451664</c:v>
                </c:pt>
                <c:pt idx="25">
                  <c:v>88.07574204057438</c:v>
                </c:pt>
                <c:pt idx="26">
                  <c:v>88.11499682663211</c:v>
                </c:pt>
                <c:pt idx="27">
                  <c:v>88.15425161268985</c:v>
                </c:pt>
                <c:pt idx="28">
                  <c:v>88.19350639874757</c:v>
                </c:pt>
              </c:numCache>
            </c:numRef>
          </c:cat>
          <c:val>
            <c:numRef>
              <c:f>Cpk!$B$68:$B$96</c:f>
              <c:numCache>
                <c:formatCode>General</c:formatCode>
                <c:ptCount val="29"/>
                <c:pt idx="0">
                  <c:v>0.00555922011886533</c:v>
                </c:pt>
                <c:pt idx="1">
                  <c:v>0.0129255740331743</c:v>
                </c:pt>
                <c:pt idx="2">
                  <c:v>0.0282320492835214</c:v>
                </c:pt>
                <c:pt idx="3">
                  <c:v>0.0579284038723263</c:v>
                </c:pt>
                <c:pt idx="4">
                  <c:v>0.111659920961605</c:v>
                </c:pt>
                <c:pt idx="5">
                  <c:v>0.202189996492788</c:v>
                </c:pt>
                <c:pt idx="6">
                  <c:v>0.343936769894797</c:v>
                </c:pt>
                <c:pt idx="7">
                  <c:v>0.549609393362562</c:v>
                </c:pt>
                <c:pt idx="8">
                  <c:v>0.825061419987365</c:v>
                </c:pt>
                <c:pt idx="9">
                  <c:v>1.163523094879046</c:v>
                </c:pt>
                <c:pt idx="10">
                  <c:v>1.541417662524735</c:v>
                </c:pt>
                <c:pt idx="11">
                  <c:v>1.918325275477934</c:v>
                </c:pt>
                <c:pt idx="12">
                  <c:v>2.242749465314391</c:v>
                </c:pt>
                <c:pt idx="13">
                  <c:v>2.463178411188158</c:v>
                </c:pt>
                <c:pt idx="14">
                  <c:v>2.541368087237471</c:v>
                </c:pt>
                <c:pt idx="15">
                  <c:v>2.463178411188158</c:v>
                </c:pt>
                <c:pt idx="16">
                  <c:v>2.242749465314391</c:v>
                </c:pt>
                <c:pt idx="17">
                  <c:v>1.918325275477934</c:v>
                </c:pt>
                <c:pt idx="18">
                  <c:v>1.541417662524735</c:v>
                </c:pt>
                <c:pt idx="19">
                  <c:v>1.163523094879046</c:v>
                </c:pt>
                <c:pt idx="20">
                  <c:v>0.825061419987365</c:v>
                </c:pt>
                <c:pt idx="21">
                  <c:v>0.549609393362562</c:v>
                </c:pt>
                <c:pt idx="22">
                  <c:v>0.343936769894797</c:v>
                </c:pt>
                <c:pt idx="23">
                  <c:v>0.202189996492788</c:v>
                </c:pt>
                <c:pt idx="24">
                  <c:v>0.111659920961605</c:v>
                </c:pt>
                <c:pt idx="25">
                  <c:v>0.0579284038723263</c:v>
                </c:pt>
                <c:pt idx="26">
                  <c:v>0.0282320492835214</c:v>
                </c:pt>
                <c:pt idx="27">
                  <c:v>0.0129255740331743</c:v>
                </c:pt>
                <c:pt idx="28">
                  <c:v>0.00555922011886533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741320"/>
        <c:axId val="2075744488"/>
      </c:lineChart>
      <c:catAx>
        <c:axId val="2075730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it-IT"/>
                  <a:t>valori</a:t>
                </a:r>
              </a:p>
            </c:rich>
          </c:tx>
          <c:layout>
            <c:manualLayout>
              <c:xMode val="edge"/>
              <c:yMode val="edge"/>
              <c:x val="0.482234299377213"/>
              <c:y val="0.87740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it-IT"/>
          </a:p>
        </c:txPr>
        <c:crossAx val="20757350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2075735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it-IT"/>
                  <a:t>Frequenza</a:t>
                </a:r>
              </a:p>
            </c:rich>
          </c:tx>
          <c:layout>
            <c:manualLayout>
              <c:xMode val="edge"/>
              <c:yMode val="edge"/>
              <c:x val="0.0473774048510946"/>
              <c:y val="0.413461538461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it-IT"/>
          </a:p>
        </c:txPr>
        <c:crossAx val="2075730968"/>
        <c:crosses val="autoZero"/>
        <c:crossBetween val="between"/>
        <c:minorUnit val="0.1029"/>
      </c:valAx>
      <c:catAx>
        <c:axId val="207574132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2075744488"/>
        <c:crosses val="autoZero"/>
        <c:auto val="0"/>
        <c:lblAlgn val="ctr"/>
        <c:lblOffset val="100"/>
        <c:noMultiLvlLbl val="0"/>
      </c:catAx>
      <c:valAx>
        <c:axId val="207574448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it-IT"/>
          </a:p>
        </c:txPr>
        <c:crossAx val="2075741320"/>
        <c:crosses val="max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it-IT"/>
    </a:p>
  </c:txPr>
  <c:printSettings>
    <c:headerFooter alignWithMargins="0">
      <c:oddHeader>&amp;F</c:oddHeader>
      <c:oddFooter>Pagina &amp;P</c:oddFooter>
    </c:headerFooter>
    <c:pageMargins b="1.0" l="0.75" r="0.75" t="1.0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1" Type="http://schemas.openxmlformats.org/officeDocument/2006/relationships/chart" Target="../charts/chart1.xml"/><Relationship Id="rId2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27</xdr:row>
      <xdr:rowOff>85725</xdr:rowOff>
    </xdr:from>
    <xdr:to>
      <xdr:col>11</xdr:col>
      <xdr:colOff>342900</xdr:colOff>
      <xdr:row>52</xdr:row>
      <xdr:rowOff>0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96</xdr:row>
      <xdr:rowOff>47624</xdr:rowOff>
    </xdr:from>
    <xdr:to>
      <xdr:col>10</xdr:col>
      <xdr:colOff>371475</xdr:colOff>
      <xdr:row>121</xdr:row>
      <xdr:rowOff>10160</xdr:rowOff>
    </xdr:to>
    <xdr:pic>
      <xdr:nvPicPr>
        <xdr:cNvPr id="27650" name="Picture 2" descr="Diapositiva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6181704"/>
          <a:ext cx="7156450" cy="4026536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19050</xdr:colOff>
      <xdr:row>33</xdr:row>
      <xdr:rowOff>104775</xdr:rowOff>
    </xdr:from>
    <xdr:to>
      <xdr:col>10</xdr:col>
      <xdr:colOff>19050</xdr:colOff>
      <xdr:row>46</xdr:row>
      <xdr:rowOff>114300</xdr:rowOff>
    </xdr:to>
    <xdr:sp macro="" textlink="">
      <xdr:nvSpPr>
        <xdr:cNvPr id="27651" name="Line 3"/>
        <xdr:cNvSpPr>
          <a:spLocks noChangeShapeType="1"/>
        </xdr:cNvSpPr>
      </xdr:nvSpPr>
      <xdr:spPr bwMode="auto">
        <a:xfrm flipV="1">
          <a:off x="5162550" y="5334000"/>
          <a:ext cx="0" cy="2114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466725</xdr:colOff>
      <xdr:row>33</xdr:row>
      <xdr:rowOff>114300</xdr:rowOff>
    </xdr:from>
    <xdr:to>
      <xdr:col>2</xdr:col>
      <xdr:colOff>466725</xdr:colOff>
      <xdr:row>46</xdr:row>
      <xdr:rowOff>123825</xdr:rowOff>
    </xdr:to>
    <xdr:sp macro="" textlink="">
      <xdr:nvSpPr>
        <xdr:cNvPr id="27652" name="Line 4"/>
        <xdr:cNvSpPr>
          <a:spLocks noChangeShapeType="1"/>
        </xdr:cNvSpPr>
      </xdr:nvSpPr>
      <xdr:spPr bwMode="auto">
        <a:xfrm flipV="1">
          <a:off x="1495425" y="5343525"/>
          <a:ext cx="0" cy="2114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485775</xdr:colOff>
      <xdr:row>33</xdr:row>
      <xdr:rowOff>95250</xdr:rowOff>
    </xdr:from>
    <xdr:to>
      <xdr:col>10</xdr:col>
      <xdr:colOff>0</xdr:colOff>
      <xdr:row>33</xdr:row>
      <xdr:rowOff>104775</xdr:rowOff>
    </xdr:to>
    <xdr:sp macro="" textlink="">
      <xdr:nvSpPr>
        <xdr:cNvPr id="27653" name="Line 5"/>
        <xdr:cNvSpPr>
          <a:spLocks noChangeShapeType="1"/>
        </xdr:cNvSpPr>
      </xdr:nvSpPr>
      <xdr:spPr bwMode="auto">
        <a:xfrm>
          <a:off x="1514475" y="5324475"/>
          <a:ext cx="3629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95250</xdr:colOff>
      <xdr:row>32</xdr:row>
      <xdr:rowOff>38100</xdr:rowOff>
    </xdr:from>
    <xdr:to>
      <xdr:col>7</xdr:col>
      <xdr:colOff>352425</xdr:colOff>
      <xdr:row>33</xdr:row>
      <xdr:rowOff>142875</xdr:rowOff>
    </xdr:to>
    <xdr:sp macro="" textlink="">
      <xdr:nvSpPr>
        <xdr:cNvPr id="27654" name="Text Box 6"/>
        <xdr:cNvSpPr txBox="1">
          <a:spLocks noChangeArrowheads="1"/>
        </xdr:cNvSpPr>
      </xdr:nvSpPr>
      <xdr:spPr bwMode="auto">
        <a:xfrm>
          <a:off x="2667000" y="5105400"/>
          <a:ext cx="12858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MS Sans Serif"/>
            </a:rPr>
            <a:t>tolleranza naturale</a:t>
          </a:r>
        </a:p>
      </xdr:txBody>
    </xdr:sp>
    <xdr:clientData/>
  </xdr:twoCellAnchor>
  <xdr:twoCellAnchor editAs="oneCell">
    <xdr:from>
      <xdr:col>4</xdr:col>
      <xdr:colOff>666115</xdr:colOff>
      <xdr:row>70</xdr:row>
      <xdr:rowOff>102235</xdr:rowOff>
    </xdr:from>
    <xdr:to>
      <xdr:col>7</xdr:col>
      <xdr:colOff>318135</xdr:colOff>
      <xdr:row>78</xdr:row>
      <xdr:rowOff>16510</xdr:rowOff>
    </xdr:to>
    <xdr:pic>
      <xdr:nvPicPr>
        <xdr:cNvPr id="276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635" y="10109835"/>
          <a:ext cx="1724660" cy="121475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4</xdr:col>
      <xdr:colOff>579120</xdr:colOff>
      <xdr:row>77</xdr:row>
      <xdr:rowOff>48895</xdr:rowOff>
    </xdr:from>
    <xdr:to>
      <xdr:col>8</xdr:col>
      <xdr:colOff>259715</xdr:colOff>
      <xdr:row>85</xdr:row>
      <xdr:rowOff>134620</xdr:rowOff>
    </xdr:to>
    <xdr:pic>
      <xdr:nvPicPr>
        <xdr:cNvPr id="276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2640" y="13094335"/>
          <a:ext cx="2444115" cy="138620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8"/>
  <sheetViews>
    <sheetView tabSelected="1" zoomScale="125" zoomScaleNormal="125" zoomScalePageLayoutView="125" workbookViewId="0">
      <selection activeCell="G25" sqref="G24:G25"/>
    </sheetView>
  </sheetViews>
  <sheetFormatPr baseColWidth="10" defaultColWidth="8.7109375" defaultRowHeight="13" x14ac:dyDescent="0"/>
  <cols>
    <col min="1" max="11" width="7.7109375" customWidth="1"/>
    <col min="12" max="12" width="6.42578125" customWidth="1"/>
    <col min="13" max="13" width="2.7109375" customWidth="1"/>
    <col min="14" max="14" width="6.5703125" customWidth="1"/>
    <col min="15" max="26" width="5.7109375" customWidth="1"/>
  </cols>
  <sheetData>
    <row r="1" spans="1:13">
      <c r="B1" s="66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3" ht="14" thickBot="1"/>
    <row r="3" spans="1:13" ht="20" customHeight="1">
      <c r="A3" s="2"/>
      <c r="B3" s="71" t="s">
        <v>21</v>
      </c>
      <c r="C3" s="71"/>
      <c r="D3" s="71"/>
      <c r="E3" s="71"/>
      <c r="F3" s="71"/>
      <c r="G3" s="71"/>
      <c r="H3" s="71"/>
      <c r="I3" s="71"/>
      <c r="J3" s="71"/>
      <c r="K3" s="71"/>
      <c r="L3" s="43"/>
      <c r="M3" s="3"/>
    </row>
    <row r="4" spans="1:13" ht="20" customHeight="1">
      <c r="A4" s="4"/>
      <c r="B4" s="5"/>
      <c r="C4" s="5" t="s">
        <v>0</v>
      </c>
      <c r="D4" s="6"/>
      <c r="E4" s="5"/>
      <c r="F4" s="5"/>
      <c r="H4" s="5"/>
      <c r="J4" s="5"/>
      <c r="K4" s="5"/>
      <c r="L4" s="7"/>
      <c r="M4" s="8"/>
    </row>
    <row r="5" spans="1:13" ht="20" customHeight="1">
      <c r="A5" s="4"/>
      <c r="B5" s="72" t="s">
        <v>22</v>
      </c>
      <c r="C5" s="72"/>
      <c r="D5" s="72"/>
      <c r="F5" s="72" t="s">
        <v>33</v>
      </c>
      <c r="G5" s="72"/>
      <c r="H5" s="72"/>
      <c r="I5" s="74" t="s">
        <v>11</v>
      </c>
      <c r="J5" s="74"/>
      <c r="K5" s="70">
        <v>41410</v>
      </c>
      <c r="L5" s="70"/>
      <c r="M5" s="8"/>
    </row>
    <row r="6" spans="1:13" ht="20" customHeight="1">
      <c r="A6" s="4"/>
      <c r="B6" s="5"/>
      <c r="C6" s="5" t="s">
        <v>0</v>
      </c>
      <c r="D6" s="6"/>
      <c r="E6" s="5"/>
      <c r="F6" s="5"/>
      <c r="H6" s="5"/>
      <c r="J6" s="5"/>
      <c r="K6" s="5"/>
      <c r="L6" s="7"/>
      <c r="M6" s="8"/>
    </row>
    <row r="7" spans="1:13" ht="16">
      <c r="A7" s="4"/>
      <c r="B7" s="5" t="s">
        <v>2</v>
      </c>
      <c r="C7" s="5"/>
      <c r="D7" s="73" t="s">
        <v>20</v>
      </c>
      <c r="E7" s="73"/>
      <c r="F7" s="73"/>
      <c r="G7" s="73"/>
      <c r="H7" s="73"/>
      <c r="I7" s="74" t="s">
        <v>1</v>
      </c>
      <c r="J7" s="75"/>
      <c r="K7" s="37">
        <f>COUNT(B9:K18)</f>
        <v>66</v>
      </c>
      <c r="L7" s="7"/>
      <c r="M7" s="8"/>
    </row>
    <row r="8" spans="1:13">
      <c r="A8" s="4"/>
      <c r="B8" s="7"/>
      <c r="C8" s="7" t="s">
        <v>0</v>
      </c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>
      <c r="A9" s="21">
        <v>1</v>
      </c>
      <c r="B9" s="41">
        <v>87.5</v>
      </c>
      <c r="C9" s="41">
        <v>87.7</v>
      </c>
      <c r="D9" s="41">
        <v>87.5</v>
      </c>
      <c r="E9" s="41">
        <v>87.6</v>
      </c>
      <c r="F9" s="42">
        <v>87.5</v>
      </c>
      <c r="G9" s="41">
        <v>87.5</v>
      </c>
      <c r="H9" s="41">
        <v>87.7</v>
      </c>
      <c r="I9" s="41">
        <v>87.8</v>
      </c>
      <c r="J9" s="41">
        <v>87.7</v>
      </c>
      <c r="K9" s="41">
        <v>87.4</v>
      </c>
      <c r="L9" s="20">
        <v>10</v>
      </c>
      <c r="M9" s="8"/>
    </row>
    <row r="10" spans="1:13">
      <c r="A10" s="21">
        <v>11</v>
      </c>
      <c r="B10" s="41">
        <v>87.5</v>
      </c>
      <c r="C10" s="41">
        <v>87.5</v>
      </c>
      <c r="D10" s="41">
        <v>87.6</v>
      </c>
      <c r="E10" s="41">
        <v>87.3</v>
      </c>
      <c r="F10" s="41">
        <v>87.3</v>
      </c>
      <c r="G10" s="41">
        <v>87.3</v>
      </c>
      <c r="H10" s="41">
        <v>87.3</v>
      </c>
      <c r="I10" s="41">
        <v>87.6</v>
      </c>
      <c r="J10" s="41">
        <v>87.4</v>
      </c>
      <c r="K10" s="41">
        <v>87.5</v>
      </c>
      <c r="L10" s="20">
        <v>20</v>
      </c>
      <c r="M10" s="8"/>
    </row>
    <row r="11" spans="1:13">
      <c r="A11" s="21">
        <v>21</v>
      </c>
      <c r="B11" s="41">
        <v>87.5</v>
      </c>
      <c r="C11" s="41">
        <v>87.5</v>
      </c>
      <c r="D11" s="41">
        <v>87.6</v>
      </c>
      <c r="E11" s="41">
        <v>87.5</v>
      </c>
      <c r="F11" s="41">
        <v>87.8</v>
      </c>
      <c r="G11" s="41">
        <v>87.8</v>
      </c>
      <c r="H11" s="41">
        <v>87.8</v>
      </c>
      <c r="I11" s="41">
        <v>87.6</v>
      </c>
      <c r="J11" s="41">
        <v>87.6</v>
      </c>
      <c r="K11" s="41">
        <v>87.7</v>
      </c>
      <c r="L11" s="20">
        <v>30</v>
      </c>
      <c r="M11" s="8"/>
    </row>
    <row r="12" spans="1:13">
      <c r="A12" s="21">
        <v>31</v>
      </c>
      <c r="B12" s="41">
        <v>87.5</v>
      </c>
      <c r="C12" s="41">
        <v>87.7</v>
      </c>
      <c r="D12" s="41">
        <v>87.6</v>
      </c>
      <c r="E12" s="41">
        <v>87.7</v>
      </c>
      <c r="F12" s="41">
        <v>87.9</v>
      </c>
      <c r="G12" s="41">
        <v>87.6</v>
      </c>
      <c r="H12" s="41">
        <v>87.7</v>
      </c>
      <c r="I12" s="41">
        <v>87.7</v>
      </c>
      <c r="J12" s="41">
        <v>87.6</v>
      </c>
      <c r="K12" s="41">
        <v>87.9</v>
      </c>
      <c r="L12" s="20">
        <v>40</v>
      </c>
      <c r="M12" s="8"/>
    </row>
    <row r="13" spans="1:13">
      <c r="A13" s="21">
        <v>41</v>
      </c>
      <c r="B13" s="41">
        <v>87.7</v>
      </c>
      <c r="C13" s="41">
        <v>87.6</v>
      </c>
      <c r="D13" s="41">
        <v>87.7</v>
      </c>
      <c r="E13" s="41">
        <v>87.7</v>
      </c>
      <c r="F13" s="41">
        <v>87.8</v>
      </c>
      <c r="G13" s="41">
        <v>87.9</v>
      </c>
      <c r="H13" s="41">
        <v>87.5</v>
      </c>
      <c r="I13" s="41">
        <v>87.7</v>
      </c>
      <c r="J13" s="41">
        <v>87.8</v>
      </c>
      <c r="K13" s="41">
        <v>87.5</v>
      </c>
      <c r="L13" s="20">
        <v>50</v>
      </c>
      <c r="M13" s="8"/>
    </row>
    <row r="14" spans="1:13">
      <c r="A14" s="21">
        <v>51</v>
      </c>
      <c r="B14" s="41">
        <v>87.9</v>
      </c>
      <c r="C14" s="41">
        <v>87.7</v>
      </c>
      <c r="D14" s="41">
        <v>87.7</v>
      </c>
      <c r="E14" s="41">
        <v>87.8</v>
      </c>
      <c r="F14" s="41">
        <v>87.9</v>
      </c>
      <c r="G14" s="41">
        <v>87.7</v>
      </c>
      <c r="H14" s="41">
        <v>87.7</v>
      </c>
      <c r="I14" s="41">
        <v>87.8</v>
      </c>
      <c r="J14" s="41">
        <v>87.7</v>
      </c>
      <c r="K14" s="41">
        <v>87.7</v>
      </c>
      <c r="L14" s="20">
        <v>60</v>
      </c>
      <c r="M14" s="9"/>
    </row>
    <row r="15" spans="1:13">
      <c r="A15" s="21">
        <v>61</v>
      </c>
      <c r="B15" s="41">
        <v>87.7</v>
      </c>
      <c r="C15" s="41">
        <v>87.7</v>
      </c>
      <c r="D15" s="41">
        <v>87.9</v>
      </c>
      <c r="E15" s="41">
        <v>87.7</v>
      </c>
      <c r="F15" s="41">
        <v>87.9</v>
      </c>
      <c r="G15" s="41">
        <v>87.6</v>
      </c>
      <c r="H15" s="41"/>
      <c r="I15" s="41"/>
      <c r="J15" s="41"/>
      <c r="K15" s="41"/>
      <c r="L15" s="20">
        <v>70</v>
      </c>
      <c r="M15" s="8"/>
    </row>
    <row r="16" spans="1:13">
      <c r="A16" s="21">
        <v>71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20">
        <v>80</v>
      </c>
      <c r="M16" s="8"/>
    </row>
    <row r="17" spans="1:15">
      <c r="A17" s="21">
        <v>81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20">
        <v>90</v>
      </c>
      <c r="M17" s="8"/>
    </row>
    <row r="18" spans="1:15">
      <c r="A18" s="21">
        <v>91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20">
        <v>100</v>
      </c>
      <c r="M18" s="8"/>
    </row>
    <row r="19" spans="1:15">
      <c r="A19" s="4"/>
      <c r="B19" s="13"/>
      <c r="C19" s="13"/>
      <c r="D19" s="13"/>
      <c r="E19" s="13"/>
      <c r="F19" s="13" t="s">
        <v>3</v>
      </c>
      <c r="G19" s="13"/>
      <c r="H19" s="13"/>
      <c r="I19" s="13"/>
      <c r="J19" s="13"/>
      <c r="K19" s="13"/>
      <c r="L19" s="7"/>
      <c r="M19" s="8"/>
    </row>
    <row r="20" spans="1:15">
      <c r="A20" s="4"/>
      <c r="B20" s="25" t="s">
        <v>49</v>
      </c>
      <c r="C20" s="13"/>
      <c r="D20" s="13"/>
      <c r="E20" s="13"/>
      <c r="F20" s="13"/>
      <c r="G20" s="25" t="s">
        <v>46</v>
      </c>
      <c r="H20" s="13"/>
      <c r="I20" s="13"/>
      <c r="J20" s="39">
        <v>0.02</v>
      </c>
      <c r="K20" s="13"/>
      <c r="L20" s="7"/>
      <c r="M20" s="8"/>
    </row>
    <row r="21" spans="1:15">
      <c r="A21" s="4"/>
      <c r="B21" s="25" t="s">
        <v>7</v>
      </c>
      <c r="C21" s="13"/>
      <c r="D21" s="13">
        <f>MIN(B9:K18)</f>
        <v>87.3</v>
      </c>
      <c r="E21" s="13"/>
      <c r="F21" s="13"/>
      <c r="G21" s="25" t="s">
        <v>45</v>
      </c>
      <c r="H21" s="13"/>
      <c r="I21" s="13"/>
      <c r="J21" s="13">
        <f>J22-J20*J22</f>
        <v>85.891060606060549</v>
      </c>
      <c r="K21" s="13" t="s">
        <v>0</v>
      </c>
      <c r="L21" s="7"/>
      <c r="M21" s="8"/>
      <c r="O21" t="s">
        <v>0</v>
      </c>
    </row>
    <row r="22" spans="1:15">
      <c r="A22" s="4"/>
      <c r="B22" s="25" t="s">
        <v>8</v>
      </c>
      <c r="C22" s="13"/>
      <c r="D22" s="44">
        <f>AVERAGE(B9:K18)</f>
        <v>87.643939393939334</v>
      </c>
      <c r="E22" s="13"/>
      <c r="F22" s="13"/>
      <c r="G22" s="28" t="s">
        <v>4</v>
      </c>
      <c r="H22" s="13"/>
      <c r="I22" s="13"/>
      <c r="J22" s="44">
        <f>AVERAGE(B9:K18)</f>
        <v>87.643939393939334</v>
      </c>
      <c r="K22" s="13"/>
      <c r="L22" s="7"/>
      <c r="M22" s="8"/>
    </row>
    <row r="23" spans="1:15">
      <c r="A23" s="4"/>
      <c r="B23" s="25" t="s">
        <v>9</v>
      </c>
      <c r="C23" s="13"/>
      <c r="D23" s="13">
        <f>MAX(B9:K18)</f>
        <v>87.9</v>
      </c>
      <c r="E23" s="13"/>
      <c r="F23" s="13"/>
      <c r="G23" s="25" t="s">
        <v>44</v>
      </c>
      <c r="H23" s="13"/>
      <c r="I23" s="13"/>
      <c r="J23" s="13">
        <f>J22+J20*J22</f>
        <v>89.396818181818119</v>
      </c>
      <c r="K23" s="14" t="s">
        <v>0</v>
      </c>
      <c r="L23" s="7"/>
      <c r="M23" s="8"/>
    </row>
    <row r="24" spans="1:15">
      <c r="A24" s="4"/>
      <c r="B24" s="26" t="s">
        <v>5</v>
      </c>
      <c r="C24" s="13"/>
      <c r="D24" s="15">
        <f>STDEV(B9:K18)</f>
        <v>0.15701914423092522</v>
      </c>
      <c r="E24" s="13"/>
      <c r="F24" s="13"/>
      <c r="G24" s="25" t="s">
        <v>47</v>
      </c>
      <c r="H24" s="13"/>
      <c r="I24" s="13"/>
      <c r="J24" s="15">
        <f>+J23-J21</f>
        <v>3.5057575757575705</v>
      </c>
      <c r="K24" s="17"/>
      <c r="L24" s="7"/>
      <c r="M24" s="19"/>
    </row>
    <row r="25" spans="1:15">
      <c r="A25" s="4"/>
      <c r="B25" s="26" t="s">
        <v>6</v>
      </c>
      <c r="C25" s="15"/>
      <c r="D25" s="16">
        <f>6*D24</f>
        <v>0.94211486538555134</v>
      </c>
      <c r="E25" s="27"/>
      <c r="F25" s="15"/>
      <c r="G25" s="29" t="s">
        <v>10</v>
      </c>
      <c r="J25" s="40">
        <v>1.67</v>
      </c>
      <c r="M25" s="8"/>
    </row>
    <row r="26" spans="1:15" ht="16">
      <c r="A26" s="4"/>
      <c r="E26" s="15"/>
      <c r="F26" s="15"/>
      <c r="G26" s="27" t="s">
        <v>43</v>
      </c>
      <c r="I26" s="24"/>
      <c r="J26" s="24">
        <f>J24/D25</f>
        <v>3.7211572649613944</v>
      </c>
      <c r="K26" s="23" t="str">
        <f>IF(J26&gt;=J25,"&gt;","&lt;")</f>
        <v>&gt;</v>
      </c>
      <c r="L26" s="31">
        <f>+J25</f>
        <v>1.67</v>
      </c>
      <c r="M26" s="8"/>
    </row>
    <row r="27" spans="1:15" ht="16">
      <c r="A27" s="4"/>
      <c r="B27" s="7"/>
      <c r="C27" s="7"/>
      <c r="D27" s="7"/>
      <c r="E27" s="7"/>
      <c r="F27" s="7"/>
      <c r="H27" s="22"/>
      <c r="I27" s="22"/>
      <c r="J27" s="18"/>
      <c r="K27" s="38" t="str">
        <f>IF(J26&gt;=J25,"ACCETTATO","NON ACCETTATO")</f>
        <v>ACCETTATO</v>
      </c>
      <c r="L27" s="7"/>
      <c r="M27" s="8"/>
    </row>
    <row r="28" spans="1:15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5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5">
      <c r="A30" s="4"/>
      <c r="B30" s="7"/>
      <c r="C30" s="7"/>
      <c r="D30" s="7"/>
      <c r="E30" s="7" t="s">
        <v>0</v>
      </c>
      <c r="F30" s="7"/>
      <c r="G30" s="7"/>
      <c r="H30" s="7"/>
      <c r="I30" s="7"/>
      <c r="J30" s="7"/>
      <c r="K30" s="7"/>
      <c r="L30" s="7"/>
      <c r="M30" s="8"/>
    </row>
    <row r="31" spans="1:1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5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3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1:13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</row>
    <row r="35" spans="1:13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</row>
    <row r="36" spans="1:13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8"/>
    </row>
    <row r="37" spans="1:13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8"/>
    </row>
    <row r="39" spans="1:13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1:13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</row>
    <row r="41" spans="1:13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</row>
    <row r="42" spans="1:13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1:13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3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1:13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1:13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1:13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1:13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</row>
    <row r="49" spans="1:13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1:13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</row>
    <row r="51" spans="1:13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</row>
    <row r="52" spans="1:13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8"/>
    </row>
    <row r="53" spans="1:13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</row>
    <row r="54" spans="1:13">
      <c r="A54" s="4"/>
      <c r="D54" s="49" t="s">
        <v>31</v>
      </c>
      <c r="E54" s="76" t="s">
        <v>34</v>
      </c>
      <c r="F54" s="77"/>
      <c r="G54" s="48" t="s">
        <v>37</v>
      </c>
      <c r="H54" s="53"/>
      <c r="I54" s="76" t="s">
        <v>38</v>
      </c>
      <c r="J54" s="77"/>
      <c r="K54" s="49" t="s">
        <v>32</v>
      </c>
      <c r="L54" s="7"/>
      <c r="M54" s="8"/>
    </row>
    <row r="55" spans="1:13">
      <c r="A55" s="4"/>
      <c r="D55" s="50" t="s">
        <v>5</v>
      </c>
      <c r="E55" s="78" t="s">
        <v>35</v>
      </c>
      <c r="F55" s="79"/>
      <c r="G55" s="50" t="s">
        <v>40</v>
      </c>
      <c r="H55" s="50" t="s">
        <v>39</v>
      </c>
      <c r="I55" s="78" t="s">
        <v>41</v>
      </c>
      <c r="J55" s="79"/>
      <c r="K55" s="51" t="s">
        <v>48</v>
      </c>
      <c r="L55" s="7"/>
      <c r="M55" s="8"/>
    </row>
    <row r="56" spans="1:13">
      <c r="A56" s="4"/>
      <c r="D56" s="33" t="s">
        <v>25</v>
      </c>
      <c r="E56" s="58">
        <v>0.31</v>
      </c>
      <c r="F56" s="59"/>
      <c r="G56" s="55">
        <f>+D22-D24</f>
        <v>87.486920249708405</v>
      </c>
      <c r="H56" s="55">
        <f>+D22+D24</f>
        <v>87.800958538170264</v>
      </c>
      <c r="I56" s="56">
        <v>691462</v>
      </c>
      <c r="J56" s="57"/>
      <c r="K56" s="33">
        <v>0.33</v>
      </c>
      <c r="L56" s="7"/>
      <c r="M56" s="8"/>
    </row>
    <row r="57" spans="1:13">
      <c r="A57" s="4"/>
      <c r="D57" s="33" t="s">
        <v>26</v>
      </c>
      <c r="E57" s="58">
        <v>0.69</v>
      </c>
      <c r="F57" s="59"/>
      <c r="G57" s="33">
        <f>+D22-2*D24</f>
        <v>87.329901105477489</v>
      </c>
      <c r="H57" s="33">
        <f>+D22+2*D24</f>
        <v>87.957977682401179</v>
      </c>
      <c r="I57" s="56">
        <v>308538</v>
      </c>
      <c r="J57" s="57"/>
      <c r="K57" s="33">
        <v>0.37</v>
      </c>
      <c r="L57" s="7"/>
      <c r="M57" s="8"/>
    </row>
    <row r="58" spans="1:13">
      <c r="A58" s="4"/>
      <c r="B58" s="52" t="s">
        <v>36</v>
      </c>
      <c r="C58" s="54"/>
      <c r="D58" s="33" t="s">
        <v>24</v>
      </c>
      <c r="E58" s="60">
        <v>0.93300000000000005</v>
      </c>
      <c r="F58" s="61"/>
      <c r="G58" s="33">
        <f>+D22-3*D24</f>
        <v>87.17288196124656</v>
      </c>
      <c r="H58" s="33">
        <f>+D22+3*D24</f>
        <v>88.114996826632108</v>
      </c>
      <c r="I58" s="56">
        <v>66807</v>
      </c>
      <c r="J58" s="57"/>
      <c r="K58" s="33">
        <v>1</v>
      </c>
      <c r="L58" s="7"/>
      <c r="M58" s="8"/>
    </row>
    <row r="59" spans="1:13">
      <c r="A59" s="4"/>
      <c r="B59" s="7"/>
      <c r="D59" s="33" t="s">
        <v>28</v>
      </c>
      <c r="E59" s="62">
        <v>0.99380000000000002</v>
      </c>
      <c r="F59" s="63"/>
      <c r="G59" s="33">
        <f>+D22-5*D24</f>
        <v>86.858843672784701</v>
      </c>
      <c r="H59" s="33">
        <f>+D22+4*D24</f>
        <v>88.272015970863038</v>
      </c>
      <c r="I59" s="56">
        <v>6210</v>
      </c>
      <c r="J59" s="57"/>
      <c r="K59" s="33">
        <v>1.33</v>
      </c>
      <c r="L59" s="7"/>
      <c r="M59" s="8"/>
    </row>
    <row r="60" spans="1:13">
      <c r="A60" s="4"/>
      <c r="B60" s="7"/>
      <c r="D60" s="33" t="s">
        <v>29</v>
      </c>
      <c r="E60" s="64">
        <v>0.99977000000000005</v>
      </c>
      <c r="F60" s="65"/>
      <c r="G60" s="33">
        <f>+D22-5*D24</f>
        <v>86.858843672784701</v>
      </c>
      <c r="H60" s="33">
        <f>+D22+5*D24</f>
        <v>88.429035115093967</v>
      </c>
      <c r="I60" s="56">
        <v>233</v>
      </c>
      <c r="J60" s="57"/>
      <c r="K60" s="33">
        <v>1.67</v>
      </c>
      <c r="L60" s="7"/>
      <c r="M60" s="8"/>
    </row>
    <row r="61" spans="1:13">
      <c r="A61" s="4"/>
      <c r="B61" s="52" t="s">
        <v>42</v>
      </c>
      <c r="C61" s="54"/>
      <c r="D61" s="33" t="s">
        <v>27</v>
      </c>
      <c r="E61" s="80">
        <v>0.99999660000000001</v>
      </c>
      <c r="F61" s="81"/>
      <c r="G61" s="33">
        <f>+D22-6*D24</f>
        <v>86.701824528553786</v>
      </c>
      <c r="H61" s="33">
        <f>+D22+6*D24</f>
        <v>88.586054259324882</v>
      </c>
      <c r="I61" s="56">
        <v>3.4</v>
      </c>
      <c r="J61" s="57"/>
      <c r="K61" s="33">
        <v>2</v>
      </c>
      <c r="L61" s="7"/>
      <c r="M61" s="8"/>
    </row>
    <row r="62" spans="1:13">
      <c r="A62" s="4"/>
      <c r="D62" s="33" t="s">
        <v>30</v>
      </c>
      <c r="E62" s="82">
        <v>0.99999998099999998</v>
      </c>
      <c r="F62" s="83"/>
      <c r="G62" s="33">
        <f>+D22-7*D24</f>
        <v>86.544805384322856</v>
      </c>
      <c r="H62" s="33">
        <f>+D22+7*D24</f>
        <v>88.743073403555812</v>
      </c>
      <c r="I62" s="56">
        <v>1.9E-2</v>
      </c>
      <c r="J62" s="57"/>
      <c r="K62" s="33">
        <v>2.33</v>
      </c>
      <c r="L62" s="7"/>
      <c r="M62" s="8"/>
    </row>
    <row r="63" spans="1:13" ht="14" thickBot="1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69" t="s">
        <v>18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1:13">
      <c r="A66" s="33" t="s">
        <v>12</v>
      </c>
      <c r="B66" s="33" t="s">
        <v>13</v>
      </c>
      <c r="C66" s="7"/>
      <c r="D66" s="33" t="s">
        <v>14</v>
      </c>
      <c r="F66" s="30"/>
      <c r="J66" s="7"/>
      <c r="K66" s="7"/>
      <c r="L66" s="7"/>
      <c r="M66" s="7"/>
    </row>
    <row r="67" spans="1:13">
      <c r="A67">
        <f>$D$24/4</f>
        <v>3.9254786057731306E-2</v>
      </c>
      <c r="B67" s="45" t="s">
        <v>23</v>
      </c>
      <c r="C67" s="30"/>
      <c r="D67" s="30"/>
      <c r="E67" s="32"/>
      <c r="F67" s="30"/>
    </row>
    <row r="68" spans="1:13">
      <c r="A68" s="34">
        <f>$D$22-14*$A$67</f>
        <v>87.094372389131095</v>
      </c>
      <c r="B68" s="35">
        <f t="shared" ref="B68:B96" si="0">(1/($D$24*SQRT(2*3.14)))*EXP((-0.5)*((A68-$D$22)/$D$24)^2)</f>
        <v>5.5592201188653266E-3</v>
      </c>
      <c r="C68">
        <f t="shared" ref="C68:C96" si="1">FREQUENCY($B$9:$K$18,A68)</f>
        <v>0</v>
      </c>
      <c r="D68" s="35">
        <f>+C68</f>
        <v>0</v>
      </c>
      <c r="E68" s="32"/>
      <c r="F68" s="7" t="s">
        <v>16</v>
      </c>
      <c r="G68" s="7"/>
      <c r="H68" s="7"/>
      <c r="I68" s="7"/>
      <c r="J68" s="7"/>
      <c r="K68" s="7"/>
      <c r="L68" s="7"/>
      <c r="M68" s="7"/>
    </row>
    <row r="69" spans="1:13">
      <c r="A69" s="34">
        <f>$D$22-13*$A$67</f>
        <v>87.133627175188821</v>
      </c>
      <c r="B69" s="35">
        <f t="shared" si="0"/>
        <v>1.2925574033174335E-2</v>
      </c>
      <c r="C69">
        <f t="shared" si="1"/>
        <v>0</v>
      </c>
      <c r="D69" s="35">
        <f t="shared" ref="D69:D96" si="2">+C69-C68</f>
        <v>0</v>
      </c>
      <c r="E69" s="32"/>
      <c r="F69" s="7" t="s">
        <v>15</v>
      </c>
      <c r="G69" s="7"/>
      <c r="H69" s="7"/>
      <c r="I69" s="7"/>
      <c r="J69" s="7"/>
      <c r="K69" s="7"/>
      <c r="L69" s="7"/>
      <c r="M69" s="7"/>
    </row>
    <row r="70" spans="1:13">
      <c r="A70" s="34">
        <f>$D$22-12*$A$67</f>
        <v>87.17288196124656</v>
      </c>
      <c r="B70" s="35">
        <f t="shared" si="0"/>
        <v>2.8232049283521368E-2</v>
      </c>
      <c r="C70">
        <f t="shared" si="1"/>
        <v>0</v>
      </c>
      <c r="D70" s="35">
        <f t="shared" si="2"/>
        <v>0</v>
      </c>
      <c r="E70" s="32"/>
      <c r="F70" s="7" t="s">
        <v>17</v>
      </c>
      <c r="G70" s="7"/>
      <c r="H70" s="7"/>
      <c r="I70" s="7"/>
      <c r="J70" s="7"/>
      <c r="K70" s="7"/>
      <c r="L70" s="7"/>
      <c r="M70" s="7"/>
    </row>
    <row r="71" spans="1:13">
      <c r="A71" s="34">
        <f>$D$22-11*$A$67</f>
        <v>87.212136747304285</v>
      </c>
      <c r="B71" s="35">
        <f t="shared" si="0"/>
        <v>5.7928403872326312E-2</v>
      </c>
      <c r="C71">
        <f t="shared" si="1"/>
        <v>0</v>
      </c>
      <c r="D71" s="35">
        <f t="shared" si="2"/>
        <v>0</v>
      </c>
      <c r="E71" s="32"/>
      <c r="F71" s="30"/>
    </row>
    <row r="72" spans="1:13">
      <c r="A72" s="34">
        <f>$D$22-10*$A$67</f>
        <v>87.251391533362025</v>
      </c>
      <c r="B72" s="35">
        <f t="shared" si="0"/>
        <v>0.11165992096160519</v>
      </c>
      <c r="C72">
        <f t="shared" si="1"/>
        <v>0</v>
      </c>
      <c r="D72" s="35">
        <f t="shared" si="2"/>
        <v>0</v>
      </c>
      <c r="E72" s="32"/>
      <c r="F72" s="30"/>
      <c r="K72" s="46">
        <f>+D22</f>
        <v>87.643939393939334</v>
      </c>
    </row>
    <row r="73" spans="1:13">
      <c r="A73" s="34">
        <f>$D$22-9*$A$67</f>
        <v>87.29064631941975</v>
      </c>
      <c r="B73" s="35">
        <f t="shared" si="0"/>
        <v>0.20218999649278829</v>
      </c>
      <c r="C73">
        <f t="shared" si="1"/>
        <v>0</v>
      </c>
      <c r="D73" s="35">
        <f t="shared" si="2"/>
        <v>0</v>
      </c>
      <c r="E73" s="32"/>
      <c r="F73" s="30"/>
    </row>
    <row r="74" spans="1:13">
      <c r="A74" s="34">
        <f>$D$22-8*$A$67</f>
        <v>87.329901105477489</v>
      </c>
      <c r="B74" s="35">
        <f t="shared" si="0"/>
        <v>0.34393676989479716</v>
      </c>
      <c r="C74">
        <f t="shared" si="1"/>
        <v>4</v>
      </c>
      <c r="D74" s="35">
        <f t="shared" si="2"/>
        <v>4</v>
      </c>
      <c r="E74" s="32"/>
      <c r="F74" s="30"/>
    </row>
    <row r="75" spans="1:13">
      <c r="A75" s="34">
        <f>$D$22-7*$A$67</f>
        <v>87.369155891535215</v>
      </c>
      <c r="B75" s="35">
        <f t="shared" si="0"/>
        <v>0.54960939336256154</v>
      </c>
      <c r="C75">
        <f t="shared" si="1"/>
        <v>4</v>
      </c>
      <c r="D75" s="35">
        <f t="shared" si="2"/>
        <v>0</v>
      </c>
      <c r="E75" s="32"/>
      <c r="F75" s="30"/>
    </row>
    <row r="76" spans="1:13">
      <c r="A76" s="34">
        <f>$D$22-6*$A$67</f>
        <v>87.40841067759294</v>
      </c>
      <c r="B76" s="35">
        <f t="shared" si="0"/>
        <v>0.82506141998736482</v>
      </c>
      <c r="C76">
        <f t="shared" si="1"/>
        <v>6</v>
      </c>
      <c r="D76" s="35">
        <f t="shared" si="2"/>
        <v>2</v>
      </c>
      <c r="E76" s="32"/>
      <c r="F76" s="30"/>
    </row>
    <row r="77" spans="1:13">
      <c r="A77" s="34">
        <f>$D$22-5*$A$67</f>
        <v>87.447665463650679</v>
      </c>
      <c r="B77" s="35">
        <f t="shared" si="0"/>
        <v>1.1635230948790456</v>
      </c>
      <c r="C77">
        <f t="shared" si="1"/>
        <v>6</v>
      </c>
      <c r="D77" s="35">
        <f t="shared" si="2"/>
        <v>0</v>
      </c>
      <c r="E77" s="32"/>
      <c r="F77" s="30"/>
    </row>
    <row r="78" spans="1:13">
      <c r="A78" s="34">
        <f>$D$22-4*$A$67</f>
        <v>87.486920249708405</v>
      </c>
      <c r="B78" s="35">
        <f t="shared" si="0"/>
        <v>1.5414176625247353</v>
      </c>
      <c r="C78">
        <f t="shared" si="1"/>
        <v>6</v>
      </c>
      <c r="D78" s="35">
        <f t="shared" si="2"/>
        <v>0</v>
      </c>
      <c r="E78" s="32"/>
      <c r="F78" s="30"/>
    </row>
    <row r="79" spans="1:13">
      <c r="A79" s="34">
        <f>$D$22-3*$A$67</f>
        <v>87.526175035766144</v>
      </c>
      <c r="B79" s="35">
        <f t="shared" si="0"/>
        <v>1.9183252754779339</v>
      </c>
      <c r="C79">
        <f t="shared" si="1"/>
        <v>19</v>
      </c>
      <c r="D79" s="35">
        <f t="shared" si="2"/>
        <v>13</v>
      </c>
      <c r="E79" s="32"/>
      <c r="F79" s="30"/>
      <c r="K79" s="47">
        <f>+D24</f>
        <v>0.15701914423092522</v>
      </c>
    </row>
    <row r="80" spans="1:13">
      <c r="A80" s="34">
        <f>$D$22-2*$A$67</f>
        <v>87.565429821823869</v>
      </c>
      <c r="B80" s="35">
        <f t="shared" si="0"/>
        <v>2.2427494653143913</v>
      </c>
      <c r="C80">
        <f t="shared" si="1"/>
        <v>19</v>
      </c>
      <c r="D80" s="35">
        <f t="shared" si="2"/>
        <v>0</v>
      </c>
      <c r="E80" s="32"/>
      <c r="F80" s="30"/>
    </row>
    <row r="81" spans="1:14">
      <c r="A81" s="34">
        <f>$D$22-1*$A$67</f>
        <v>87.604684607881609</v>
      </c>
      <c r="B81" s="35">
        <f t="shared" si="0"/>
        <v>2.4631784111881578</v>
      </c>
      <c r="C81">
        <f t="shared" si="1"/>
        <v>30</v>
      </c>
      <c r="D81" s="35">
        <f t="shared" si="2"/>
        <v>11</v>
      </c>
      <c r="E81" s="32"/>
      <c r="F81" s="30"/>
      <c r="L81" s="1"/>
    </row>
    <row r="82" spans="1:14">
      <c r="A82" s="34">
        <f>$D$22</f>
        <v>87.643939393939334</v>
      </c>
      <c r="B82" s="35">
        <f t="shared" si="0"/>
        <v>2.5413680872374713</v>
      </c>
      <c r="C82">
        <f t="shared" si="1"/>
        <v>30</v>
      </c>
      <c r="D82" s="35">
        <f t="shared" si="2"/>
        <v>0</v>
      </c>
      <c r="E82" s="32"/>
      <c r="F82" s="30"/>
      <c r="I82" s="36"/>
      <c r="L82" s="1"/>
      <c r="N82" s="1"/>
    </row>
    <row r="83" spans="1:14">
      <c r="A83" s="34">
        <f>$D$22+1*$A$67</f>
        <v>87.683194179997059</v>
      </c>
      <c r="B83" s="35">
        <f t="shared" si="0"/>
        <v>2.4631784111881578</v>
      </c>
      <c r="C83">
        <f t="shared" si="1"/>
        <v>30</v>
      </c>
      <c r="D83" s="35">
        <f t="shared" si="2"/>
        <v>0</v>
      </c>
      <c r="E83" s="32"/>
      <c r="F83" s="30"/>
      <c r="N83" s="1"/>
    </row>
    <row r="84" spans="1:14">
      <c r="A84" s="34">
        <f>$D$22+2*$A$67</f>
        <v>87.722448966054799</v>
      </c>
      <c r="B84" s="35">
        <f t="shared" si="0"/>
        <v>2.2427494653143913</v>
      </c>
      <c r="C84">
        <f t="shared" si="1"/>
        <v>51</v>
      </c>
      <c r="D84" s="35">
        <f t="shared" si="2"/>
        <v>21</v>
      </c>
      <c r="E84" s="32"/>
      <c r="F84" s="30"/>
      <c r="N84" s="1"/>
    </row>
    <row r="85" spans="1:14">
      <c r="A85" s="34">
        <f>$D$22+3*$A$67</f>
        <v>87.761703752112524</v>
      </c>
      <c r="B85" s="35">
        <f t="shared" si="0"/>
        <v>1.9183252754779339</v>
      </c>
      <c r="C85">
        <f t="shared" si="1"/>
        <v>51</v>
      </c>
      <c r="D85" s="35">
        <f t="shared" si="2"/>
        <v>0</v>
      </c>
      <c r="E85" s="32"/>
      <c r="F85" s="30"/>
    </row>
    <row r="86" spans="1:14">
      <c r="A86" s="34">
        <f>$D$22+4*$A$67</f>
        <v>87.800958538170264</v>
      </c>
      <c r="B86" s="35">
        <f t="shared" si="0"/>
        <v>1.5414176625247353</v>
      </c>
      <c r="C86">
        <f t="shared" si="1"/>
        <v>59</v>
      </c>
      <c r="D86" s="35">
        <f t="shared" si="2"/>
        <v>8</v>
      </c>
      <c r="E86" s="32"/>
      <c r="F86" s="30"/>
    </row>
    <row r="87" spans="1:14">
      <c r="A87" s="34">
        <f>$D$22+5*$A$67</f>
        <v>87.840213324227989</v>
      </c>
      <c r="B87" s="35">
        <f t="shared" si="0"/>
        <v>1.1635230948790456</v>
      </c>
      <c r="C87">
        <f t="shared" si="1"/>
        <v>59</v>
      </c>
      <c r="D87" s="35">
        <f t="shared" si="2"/>
        <v>0</v>
      </c>
      <c r="E87" s="32"/>
    </row>
    <row r="88" spans="1:14">
      <c r="A88" s="34">
        <f>$D$22+6*$A$67</f>
        <v>87.879468110285728</v>
      </c>
      <c r="B88" s="35">
        <f t="shared" si="0"/>
        <v>0.82506141998736482</v>
      </c>
      <c r="C88">
        <f t="shared" si="1"/>
        <v>59</v>
      </c>
      <c r="D88" s="35">
        <f t="shared" si="2"/>
        <v>0</v>
      </c>
      <c r="E88" s="32"/>
    </row>
    <row r="89" spans="1:14">
      <c r="A89" s="34">
        <f>$D$22+7*$A$67</f>
        <v>87.918722896343453</v>
      </c>
      <c r="B89" s="35">
        <f t="shared" si="0"/>
        <v>0.54960939336256154</v>
      </c>
      <c r="C89">
        <f t="shared" si="1"/>
        <v>66</v>
      </c>
      <c r="D89" s="35">
        <f t="shared" si="2"/>
        <v>7</v>
      </c>
      <c r="E89" s="32"/>
    </row>
    <row r="90" spans="1:14">
      <c r="A90" s="34">
        <f>$D$22+8*$A$67</f>
        <v>87.957977682401179</v>
      </c>
      <c r="B90" s="35">
        <f t="shared" si="0"/>
        <v>0.34393676989479716</v>
      </c>
      <c r="C90">
        <f t="shared" si="1"/>
        <v>66</v>
      </c>
      <c r="D90" s="35">
        <f t="shared" si="2"/>
        <v>0</v>
      </c>
      <c r="E90" s="32"/>
    </row>
    <row r="91" spans="1:14">
      <c r="A91" s="34">
        <f>$D$22+9*$A$67</f>
        <v>87.997232468458918</v>
      </c>
      <c r="B91" s="35">
        <f t="shared" si="0"/>
        <v>0.20218999649278829</v>
      </c>
      <c r="C91">
        <f t="shared" si="1"/>
        <v>66</v>
      </c>
      <c r="D91" s="35">
        <f t="shared" si="2"/>
        <v>0</v>
      </c>
      <c r="E91" s="32"/>
    </row>
    <row r="92" spans="1:14">
      <c r="A92" s="34">
        <f>$D$22+10*$A$67</f>
        <v>88.036487254516643</v>
      </c>
      <c r="B92" s="35">
        <f t="shared" si="0"/>
        <v>0.11165992096160519</v>
      </c>
      <c r="C92">
        <f t="shared" si="1"/>
        <v>66</v>
      </c>
      <c r="D92" s="35">
        <f t="shared" si="2"/>
        <v>0</v>
      </c>
      <c r="E92" s="32"/>
    </row>
    <row r="93" spans="1:14">
      <c r="A93" s="34">
        <f>$D$22+11*$A$67</f>
        <v>88.075742040574383</v>
      </c>
      <c r="B93" s="35">
        <f t="shared" si="0"/>
        <v>5.7928403872326312E-2</v>
      </c>
      <c r="C93">
        <f t="shared" si="1"/>
        <v>66</v>
      </c>
      <c r="D93" s="35">
        <f t="shared" si="2"/>
        <v>0</v>
      </c>
      <c r="E93" s="32"/>
    </row>
    <row r="94" spans="1:14">
      <c r="A94" s="34">
        <f>$D$22+12*$A$67</f>
        <v>88.114996826632108</v>
      </c>
      <c r="B94" s="35">
        <f t="shared" si="0"/>
        <v>2.8232049283521368E-2</v>
      </c>
      <c r="C94">
        <f t="shared" si="1"/>
        <v>66</v>
      </c>
      <c r="D94" s="35">
        <f t="shared" si="2"/>
        <v>0</v>
      </c>
      <c r="E94" s="32"/>
    </row>
    <row r="95" spans="1:14">
      <c r="A95" s="34">
        <f>$D$22+13*$A$67</f>
        <v>88.154251612689848</v>
      </c>
      <c r="B95" s="35">
        <f t="shared" si="0"/>
        <v>1.2925574033174335E-2</v>
      </c>
      <c r="C95">
        <f t="shared" si="1"/>
        <v>66</v>
      </c>
      <c r="D95" s="35">
        <f t="shared" si="2"/>
        <v>0</v>
      </c>
      <c r="E95" s="32"/>
      <c r="F95" s="7"/>
      <c r="G95" s="7"/>
      <c r="H95" s="7"/>
      <c r="I95" s="7"/>
      <c r="J95" s="7"/>
    </row>
    <row r="96" spans="1:14">
      <c r="A96" s="34">
        <f>$D$22+14*$A$67</f>
        <v>88.193506398747573</v>
      </c>
      <c r="B96" s="35">
        <f t="shared" si="0"/>
        <v>5.5592201188653266E-3</v>
      </c>
      <c r="C96">
        <f t="shared" si="1"/>
        <v>66</v>
      </c>
      <c r="D96" s="35">
        <f t="shared" si="2"/>
        <v>0</v>
      </c>
      <c r="E96" s="32"/>
      <c r="F96" s="7"/>
      <c r="G96" s="7"/>
      <c r="H96" s="7"/>
      <c r="I96" s="7"/>
      <c r="J96" s="7"/>
    </row>
    <row r="97" spans="5:5">
      <c r="E97" s="7"/>
    </row>
    <row r="98" spans="5:5">
      <c r="E98" s="7"/>
    </row>
  </sheetData>
  <sheetProtection password="CCA5" sheet="1" objects="1" scenarios="1"/>
  <mergeCells count="27">
    <mergeCell ref="B1:L1"/>
    <mergeCell ref="A65:M65"/>
    <mergeCell ref="K5:L5"/>
    <mergeCell ref="B3:K3"/>
    <mergeCell ref="B5:D5"/>
    <mergeCell ref="F5:H5"/>
    <mergeCell ref="D7:H7"/>
    <mergeCell ref="I7:J7"/>
    <mergeCell ref="I5:J5"/>
    <mergeCell ref="E54:F54"/>
    <mergeCell ref="E55:F55"/>
    <mergeCell ref="E61:F61"/>
    <mergeCell ref="E62:F62"/>
    <mergeCell ref="I54:J54"/>
    <mergeCell ref="I55:J55"/>
    <mergeCell ref="I56:J56"/>
    <mergeCell ref="I62:J62"/>
    <mergeCell ref="E56:F56"/>
    <mergeCell ref="E57:F57"/>
    <mergeCell ref="E58:F58"/>
    <mergeCell ref="E59:F59"/>
    <mergeCell ref="E60:F60"/>
    <mergeCell ref="I57:J57"/>
    <mergeCell ref="I58:J58"/>
    <mergeCell ref="I59:J59"/>
    <mergeCell ref="I60:J60"/>
    <mergeCell ref="I61:J61"/>
  </mergeCells>
  <phoneticPr fontId="5" type="noConversion"/>
  <printOptions horizontalCentered="1" verticalCentered="1"/>
  <pageMargins left="0.2" right="0.2" top="0.78889763779527566" bottom="0.79000000000000015" header="0.1" footer="0.30000000000000004"/>
  <pageSetup paperSize="9" scale="84" fitToHeight="2" orientation="portrait" horizontalDpi="4294967295" verticalDpi="4294967295"/>
  <headerFooter alignWithMargins="0">
    <oddHeader>&amp;L&amp;"Lucida Grande,Normale"&amp;K000000&amp;G&amp;C&amp;"Lucida Grande,Normale"&amp;14&amp;K000000CALCOLO Cpk</oddHeader>
    <oddFooter>Pagina &amp;P di &amp;N</oddFoot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Cpk</vt:lpstr>
    </vt:vector>
  </TitlesOfParts>
  <Company>Servizio E.D.P.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Reydel Italia S.p.A.</dc:creator>
  <cp:lastModifiedBy>Flavio Fabbrigiotti</cp:lastModifiedBy>
  <cp:lastPrinted>2016-01-22T13:23:35Z</cp:lastPrinted>
  <dcterms:created xsi:type="dcterms:W3CDTF">1998-02-24T13:02:37Z</dcterms:created>
  <dcterms:modified xsi:type="dcterms:W3CDTF">2016-03-25T16:01:28Z</dcterms:modified>
</cp:coreProperties>
</file>