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1860" yWindow="80" windowWidth="32740" windowHeight="20120"/>
  </bookViews>
  <sheets>
    <sheet name="GART-MP" sheetId="2" r:id="rId1"/>
  </sheets>
  <definedNames>
    <definedName name="_xlnm.Print_Area" localSheetId="0">'GART-MP'!$A$2:$N$320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7" i="2" l="1"/>
  <c r="D278" i="2"/>
  <c r="D279" i="2"/>
  <c r="D280" i="2"/>
  <c r="D283" i="2"/>
  <c r="D282" i="2"/>
  <c r="D281" i="2"/>
  <c r="D276" i="2"/>
  <c r="A283" i="2"/>
  <c r="A282" i="2"/>
  <c r="A281" i="2"/>
  <c r="A280" i="2"/>
  <c r="A279" i="2"/>
  <c r="A278" i="2"/>
  <c r="A277" i="2"/>
  <c r="A276" i="2"/>
  <c r="D337" i="2"/>
  <c r="C347" i="2"/>
  <c r="H337" i="2"/>
  <c r="I337" i="2"/>
  <c r="D347" i="2"/>
  <c r="C332" i="2"/>
  <c r="B347" i="2"/>
  <c r="G327" i="2"/>
  <c r="A347" i="2"/>
  <c r="F347" i="2"/>
  <c r="I347" i="2"/>
  <c r="F327" i="2"/>
  <c r="F342" i="2"/>
  <c r="G342" i="2"/>
  <c r="H342" i="2"/>
  <c r="E327" i="2"/>
  <c r="H72" i="2"/>
  <c r="A72" i="2"/>
  <c r="E33" i="2"/>
  <c r="C33" i="2"/>
  <c r="D106" i="2"/>
  <c r="F106" i="2"/>
  <c r="A106" i="2"/>
  <c r="I106" i="2"/>
  <c r="D107" i="2"/>
  <c r="A107" i="2"/>
  <c r="F107" i="2"/>
  <c r="I107" i="2"/>
  <c r="D108" i="2"/>
  <c r="F108" i="2"/>
  <c r="A108" i="2"/>
  <c r="G108" i="2"/>
  <c r="G105" i="2"/>
  <c r="H108" i="2"/>
  <c r="D105" i="2"/>
  <c r="H105" i="2"/>
  <c r="E100" i="2"/>
  <c r="E99" i="2"/>
  <c r="D100" i="2"/>
  <c r="D99" i="2"/>
  <c r="A236" i="2"/>
  <c r="C234" i="2"/>
  <c r="A234" i="2"/>
  <c r="A235" i="2"/>
  <c r="C236" i="2"/>
  <c r="B236" i="2"/>
  <c r="D235" i="2"/>
  <c r="B235" i="2"/>
  <c r="D234" i="2"/>
  <c r="D233" i="2"/>
  <c r="C233" i="2"/>
  <c r="B233" i="2"/>
  <c r="A208" i="2"/>
  <c r="B208" i="2"/>
  <c r="C208" i="2"/>
  <c r="B214" i="2"/>
  <c r="C214" i="2"/>
  <c r="F214" i="2"/>
  <c r="A215" i="2"/>
  <c r="F215" i="2"/>
  <c r="A216" i="2"/>
  <c r="F216" i="2"/>
  <c r="A217" i="2"/>
  <c r="F217" i="2"/>
  <c r="A218" i="2"/>
  <c r="F218" i="2"/>
  <c r="B216" i="2"/>
  <c r="B217" i="2"/>
  <c r="B218" i="2"/>
  <c r="A219" i="2"/>
  <c r="E210" i="2"/>
  <c r="B210" i="2"/>
  <c r="A210" i="2"/>
  <c r="C210" i="2"/>
  <c r="D210" i="2"/>
  <c r="F209" i="2"/>
  <c r="E206" i="2"/>
  <c r="F206" i="2"/>
  <c r="A207" i="2"/>
  <c r="B207" i="2"/>
  <c r="E207" i="2"/>
  <c r="F207" i="2"/>
  <c r="E208" i="2"/>
  <c r="F208" i="2"/>
  <c r="B205" i="2"/>
  <c r="E205" i="2"/>
  <c r="F205" i="2"/>
  <c r="A206" i="2"/>
  <c r="B209" i="2"/>
  <c r="A209" i="2"/>
  <c r="D205" i="2"/>
  <c r="D206" i="2"/>
  <c r="D207" i="2"/>
  <c r="D209" i="2"/>
  <c r="C209" i="2"/>
  <c r="B219" i="2"/>
  <c r="C219" i="2"/>
  <c r="D219" i="2"/>
  <c r="E219" i="2"/>
  <c r="E215" i="2"/>
  <c r="E214" i="2"/>
  <c r="C205" i="2"/>
  <c r="C206" i="2"/>
  <c r="D215" i="2"/>
  <c r="D214" i="2"/>
  <c r="C215" i="2"/>
  <c r="E297" i="2"/>
  <c r="K297" i="2"/>
  <c r="E298" i="2"/>
  <c r="K298" i="2"/>
  <c r="E296" i="2"/>
  <c r="K296" i="2"/>
  <c r="A11" i="2"/>
  <c r="A12" i="2"/>
  <c r="B10" i="2"/>
  <c r="A10" i="2"/>
  <c r="A201" i="2"/>
  <c r="B201" i="2"/>
  <c r="D200" i="2"/>
  <c r="C200" i="2"/>
  <c r="A200" i="2"/>
  <c r="B200" i="2"/>
  <c r="C199" i="2"/>
  <c r="A199" i="2"/>
  <c r="B199" i="2"/>
  <c r="A198" i="2"/>
  <c r="B198" i="2"/>
  <c r="B196" i="2"/>
  <c r="C196" i="2"/>
  <c r="C197" i="2"/>
  <c r="C201" i="2"/>
  <c r="F200" i="2"/>
  <c r="F196" i="2"/>
  <c r="E199" i="2"/>
  <c r="F199" i="2"/>
  <c r="D198" i="2"/>
  <c r="E198" i="2"/>
  <c r="F198" i="2"/>
  <c r="D174" i="2"/>
  <c r="G174" i="2"/>
  <c r="B270" i="2"/>
  <c r="A271" i="2"/>
  <c r="H44" i="2"/>
  <c r="H43" i="2"/>
  <c r="C72" i="2"/>
  <c r="A80" i="2"/>
  <c r="F80" i="2"/>
  <c r="A79" i="2"/>
  <c r="F79" i="2"/>
  <c r="A78" i="2"/>
  <c r="F78" i="2"/>
  <c r="A77" i="2"/>
  <c r="F77" i="2"/>
  <c r="G77" i="2"/>
  <c r="G78" i="2"/>
  <c r="G79" i="2"/>
  <c r="G80" i="2"/>
  <c r="H77" i="2"/>
  <c r="H78" i="2"/>
  <c r="H79" i="2"/>
  <c r="H80" i="2"/>
  <c r="A76" i="2"/>
  <c r="F76" i="2"/>
  <c r="G76" i="2"/>
  <c r="H76" i="2"/>
  <c r="E66" i="2"/>
  <c r="F65" i="2"/>
  <c r="G43" i="2"/>
  <c r="G44" i="2"/>
  <c r="C60" i="2"/>
  <c r="G60" i="2"/>
  <c r="G59" i="2"/>
  <c r="C58" i="2"/>
  <c r="G58" i="2"/>
  <c r="F59" i="2"/>
  <c r="A59" i="2"/>
  <c r="F58" i="2"/>
  <c r="B229" i="2"/>
  <c r="E229" i="2"/>
  <c r="F229" i="2"/>
  <c r="D229" i="2"/>
  <c r="C229" i="2"/>
  <c r="A229" i="2"/>
  <c r="B228" i="2"/>
  <c r="G228" i="2"/>
  <c r="E228" i="2"/>
  <c r="D228" i="2"/>
  <c r="C228" i="2"/>
  <c r="A228" i="2"/>
  <c r="B227" i="2"/>
  <c r="G227" i="2"/>
  <c r="F227" i="2"/>
  <c r="D227" i="2"/>
  <c r="C227" i="2"/>
  <c r="A227" i="2"/>
  <c r="B226" i="2"/>
  <c r="G226" i="2"/>
  <c r="E226" i="2"/>
  <c r="F226" i="2"/>
  <c r="C226" i="2"/>
  <c r="A226" i="2"/>
  <c r="B225" i="2"/>
  <c r="G225" i="2"/>
  <c r="E225" i="2"/>
  <c r="F225" i="2"/>
  <c r="D225" i="2"/>
  <c r="A225" i="2"/>
  <c r="G224" i="2"/>
  <c r="E224" i="2"/>
  <c r="F224" i="2"/>
  <c r="D224" i="2"/>
  <c r="C224" i="2"/>
  <c r="A224" i="2"/>
  <c r="B223" i="2"/>
  <c r="G223" i="2"/>
  <c r="E223" i="2"/>
  <c r="F223" i="2"/>
  <c r="D223" i="2"/>
  <c r="C223" i="2"/>
  <c r="D196" i="2"/>
  <c r="E196" i="2"/>
  <c r="A155" i="2"/>
  <c r="F152" i="2"/>
  <c r="F154" i="2"/>
  <c r="F155" i="2"/>
  <c r="A156" i="2"/>
  <c r="B155" i="2"/>
  <c r="B156" i="2"/>
  <c r="C155" i="2"/>
  <c r="C156" i="2"/>
  <c r="D155" i="2"/>
  <c r="D156" i="2"/>
  <c r="E155" i="2"/>
  <c r="E156" i="2"/>
  <c r="F156" i="2"/>
  <c r="A153" i="2"/>
  <c r="B153" i="2"/>
  <c r="C153" i="2"/>
  <c r="D153" i="2"/>
  <c r="E153" i="2"/>
  <c r="F153" i="2"/>
  <c r="A163" i="2"/>
  <c r="F160" i="2"/>
  <c r="F162" i="2"/>
  <c r="F163" i="2"/>
  <c r="A164" i="2"/>
  <c r="B163" i="2"/>
  <c r="B164" i="2"/>
  <c r="C163" i="2"/>
  <c r="C164" i="2"/>
  <c r="D163" i="2"/>
  <c r="D164" i="2"/>
  <c r="E163" i="2"/>
  <c r="E164" i="2"/>
  <c r="F164" i="2"/>
  <c r="A161" i="2"/>
  <c r="B161" i="2"/>
  <c r="C161" i="2"/>
  <c r="D161" i="2"/>
  <c r="E161" i="2"/>
  <c r="F161" i="2"/>
  <c r="D169" i="2"/>
  <c r="G169" i="2"/>
  <c r="C91" i="2"/>
  <c r="A91" i="2"/>
  <c r="O297" i="2"/>
  <c r="O298" i="2"/>
  <c r="O296" i="2"/>
  <c r="I298" i="2"/>
  <c r="M298" i="2"/>
  <c r="N298" i="2"/>
  <c r="I297" i="2"/>
  <c r="M297" i="2"/>
  <c r="N297" i="2"/>
  <c r="I296" i="2"/>
  <c r="M296" i="2"/>
  <c r="N296" i="2"/>
  <c r="A290" i="2"/>
  <c r="E289" i="2"/>
  <c r="B289" i="2"/>
  <c r="G289" i="2"/>
  <c r="I289" i="2"/>
  <c r="C11" i="2"/>
  <c r="C66" i="2"/>
  <c r="G66" i="2"/>
  <c r="C65" i="2"/>
  <c r="G65" i="2"/>
  <c r="D38" i="2"/>
  <c r="E290" i="2"/>
  <c r="G290" i="2"/>
  <c r="I290" i="2"/>
  <c r="B264" i="2"/>
  <c r="A265" i="2"/>
  <c r="A246" i="2"/>
  <c r="D246" i="2"/>
  <c r="C246" i="2"/>
  <c r="B246" i="2"/>
  <c r="A245" i="2"/>
  <c r="E245" i="2"/>
  <c r="C245" i="2"/>
  <c r="B245" i="2"/>
  <c r="A244" i="2"/>
  <c r="E244" i="2"/>
  <c r="D244" i="2"/>
  <c r="B244" i="2"/>
  <c r="A243" i="2"/>
  <c r="E243" i="2"/>
  <c r="D243" i="2"/>
  <c r="C243" i="2"/>
  <c r="E242" i="2"/>
  <c r="D242" i="2"/>
  <c r="C242" i="2"/>
  <c r="B242" i="2"/>
  <c r="A260" i="2"/>
  <c r="C260" i="2"/>
  <c r="B260" i="2"/>
  <c r="A259" i="2"/>
  <c r="D259" i="2"/>
  <c r="B259" i="2"/>
  <c r="A258" i="2"/>
  <c r="D258" i="2"/>
  <c r="C258" i="2"/>
  <c r="D257" i="2"/>
  <c r="C257" i="2"/>
  <c r="B257" i="2"/>
  <c r="A253" i="2"/>
  <c r="C253" i="2"/>
  <c r="B253" i="2"/>
  <c r="A252" i="2"/>
  <c r="D252" i="2"/>
  <c r="B252" i="2"/>
  <c r="A251" i="2"/>
  <c r="D251" i="2"/>
  <c r="C251" i="2"/>
  <c r="D250" i="2"/>
  <c r="C250" i="2"/>
  <c r="B250" i="2"/>
  <c r="F181" i="2"/>
  <c r="B186" i="2"/>
  <c r="C181" i="2"/>
  <c r="D181" i="2"/>
  <c r="C186" i="2"/>
  <c r="D186" i="2"/>
  <c r="E186" i="2"/>
  <c r="F191" i="2"/>
  <c r="E191" i="2"/>
  <c r="H191" i="2"/>
  <c r="I191" i="2"/>
  <c r="G191" i="2"/>
  <c r="G181" i="2"/>
  <c r="A186" i="2"/>
  <c r="F186" i="2"/>
  <c r="E181" i="2"/>
  <c r="B129" i="2"/>
  <c r="A128" i="2"/>
  <c r="D123" i="2"/>
  <c r="E123" i="2"/>
  <c r="E122" i="2"/>
  <c r="C122" i="2"/>
  <c r="B121" i="2"/>
  <c r="E121" i="2"/>
  <c r="E120" i="2"/>
  <c r="A120" i="2"/>
  <c r="C115" i="2"/>
  <c r="B114" i="2"/>
  <c r="A113" i="2"/>
  <c r="F105" i="2"/>
  <c r="I105" i="2"/>
  <c r="C94" i="2"/>
  <c r="E94" i="2"/>
  <c r="E93" i="2"/>
  <c r="B93" i="2"/>
  <c r="E92" i="2"/>
  <c r="A92" i="2"/>
  <c r="C86" i="2"/>
  <c r="D86" i="2"/>
  <c r="B86" i="2"/>
  <c r="A85" i="2"/>
  <c r="C85" i="2"/>
  <c r="D85" i="2"/>
  <c r="E72" i="2"/>
  <c r="E49" i="2"/>
  <c r="D52" i="2"/>
  <c r="C49" i="2"/>
  <c r="E44" i="2"/>
  <c r="F44" i="2"/>
  <c r="E43" i="2"/>
  <c r="A43" i="2"/>
  <c r="A33" i="2"/>
  <c r="H33" i="2"/>
  <c r="F33" i="2"/>
  <c r="H32" i="2"/>
  <c r="F32" i="2"/>
  <c r="D32" i="2"/>
  <c r="D26" i="2"/>
  <c r="C25" i="2"/>
  <c r="B24" i="2"/>
  <c r="A23" i="2"/>
  <c r="D19" i="2"/>
  <c r="C18" i="2"/>
  <c r="B17" i="2"/>
  <c r="A16" i="2"/>
  <c r="D12" i="2"/>
  <c r="A60" i="2"/>
  <c r="D201" i="2"/>
  <c r="E201" i="2"/>
  <c r="A197" i="2"/>
  <c r="F197" i="2"/>
  <c r="D197" i="2"/>
  <c r="E197" i="2"/>
  <c r="C218" i="2"/>
  <c r="C217" i="2"/>
  <c r="D218" i="2"/>
  <c r="E217" i="2"/>
  <c r="D216" i="2"/>
  <c r="E216" i="2"/>
  <c r="G107" i="2"/>
  <c r="H106" i="2"/>
</calcChain>
</file>

<file path=xl/comments1.xml><?xml version="1.0" encoding="utf-8"?>
<comments xmlns="http://schemas.openxmlformats.org/spreadsheetml/2006/main">
  <authors>
    <author>Flavio Fabbrigiotti</author>
  </authors>
  <commentList>
    <comment ref="C342" authorId="0">
      <text>
        <r>
          <rPr>
            <b/>
            <sz val="9"/>
            <color indexed="81"/>
            <rFont val="Calibri"/>
          </rPr>
          <t>PP  0,84
ABS 1,4
PA6 1,8
PS  1,3</t>
        </r>
      </text>
    </comment>
  </commentList>
</comments>
</file>

<file path=xl/sharedStrings.xml><?xml version="1.0" encoding="utf-8"?>
<sst xmlns="http://schemas.openxmlformats.org/spreadsheetml/2006/main" count="647" uniqueCount="345">
  <si>
    <t>Potenza di un motore</t>
  </si>
  <si>
    <t>Nm</t>
  </si>
  <si>
    <t>rpm</t>
  </si>
  <si>
    <t>corrente trifase assorbita</t>
  </si>
  <si>
    <t>A</t>
  </si>
  <si>
    <t>V</t>
  </si>
  <si>
    <t>cos(fi)</t>
  </si>
  <si>
    <t>corrente monofase assorbita</t>
  </si>
  <si>
    <t>diagonale fra colonne</t>
  </si>
  <si>
    <t>pass.H</t>
  </si>
  <si>
    <t>pass.V</t>
  </si>
  <si>
    <t>diagonale</t>
  </si>
  <si>
    <t>spess.</t>
  </si>
  <si>
    <t>gr/sec</t>
  </si>
  <si>
    <t>velocità periferica vite</t>
  </si>
  <si>
    <t>mm/s</t>
  </si>
  <si>
    <t>D(vite)</t>
  </si>
  <si>
    <t>potenza</t>
  </si>
  <si>
    <t>Hp</t>
  </si>
  <si>
    <t>kcal/h</t>
  </si>
  <si>
    <t>KJ/h</t>
  </si>
  <si>
    <t>kcal</t>
  </si>
  <si>
    <t>KJ</t>
  </si>
  <si>
    <t>BTU</t>
  </si>
  <si>
    <t>atm</t>
  </si>
  <si>
    <t>m H2O</t>
  </si>
  <si>
    <t>mm Hg</t>
  </si>
  <si>
    <t>PSI</t>
  </si>
  <si>
    <t>bar</t>
  </si>
  <si>
    <t>temperatura</t>
  </si>
  <si>
    <t>F</t>
  </si>
  <si>
    <t>area cerchio</t>
  </si>
  <si>
    <t>cavo</t>
  </si>
  <si>
    <t>Kw</t>
  </si>
  <si>
    <t>mmq</t>
  </si>
  <si>
    <t>A/mmq</t>
  </si>
  <si>
    <t>mt</t>
  </si>
  <si>
    <t>-&gt;</t>
  </si>
  <si>
    <t>Volume di iniezione</t>
  </si>
  <si>
    <t>cm3</t>
  </si>
  <si>
    <t>mm</t>
  </si>
  <si>
    <t>densità</t>
  </si>
  <si>
    <t>gr</t>
  </si>
  <si>
    <t>sec</t>
  </si>
  <si>
    <t>mm/sec</t>
  </si>
  <si>
    <t>pieno</t>
  </si>
  <si>
    <t>comp.1</t>
  </si>
  <si>
    <t>comp.2</t>
  </si>
  <si>
    <t>miscela</t>
  </si>
  <si>
    <t>volume</t>
  </si>
  <si>
    <t>kg/h</t>
  </si>
  <si>
    <t>Kwh</t>
  </si>
  <si>
    <t>minuti</t>
  </si>
  <si>
    <t>materiale</t>
  </si>
  <si>
    <t>frigorie/h</t>
  </si>
  <si>
    <t>PP</t>
  </si>
  <si>
    <t>ABS</t>
  </si>
  <si>
    <t>PA6</t>
  </si>
  <si>
    <t>PS</t>
  </si>
  <si>
    <t>allungam.</t>
  </si>
  <si>
    <t>lunghezza</t>
  </si>
  <si>
    <t>tons</t>
  </si>
  <si>
    <t>diam.col.</t>
  </si>
  <si>
    <t>mod.elast.</t>
  </si>
  <si>
    <t>Mpa</t>
  </si>
  <si>
    <t>coppia</t>
  </si>
  <si>
    <t>vel.rot.</t>
  </si>
  <si>
    <t>kg</t>
  </si>
  <si>
    <t>peso</t>
  </si>
  <si>
    <t>altezza</t>
  </si>
  <si>
    <t>larghezza</t>
  </si>
  <si>
    <t>tempo</t>
  </si>
  <si>
    <t>°C</t>
  </si>
  <si>
    <t>temp.amb.</t>
  </si>
  <si>
    <t>temp.st.</t>
  </si>
  <si>
    <t>chiusura</t>
  </si>
  <si>
    <t>iniziale</t>
  </si>
  <si>
    <t>riscald.</t>
  </si>
  <si>
    <t>capacità massima di plastificazione</t>
  </si>
  <si>
    <t>stampata</t>
  </si>
  <si>
    <t>ciclo</t>
  </si>
  <si>
    <t>produzione</t>
  </si>
  <si>
    <t>cal.spec.</t>
  </si>
  <si>
    <t>kJ/kg K</t>
  </si>
  <si>
    <t>raffredd.</t>
  </si>
  <si>
    <t>?</t>
  </si>
  <si>
    <t>tipo</t>
  </si>
  <si>
    <t>trafila</t>
  </si>
  <si>
    <t>plastif.</t>
  </si>
  <si>
    <t>CONVERSIONI</t>
  </si>
  <si>
    <t>di acqua</t>
  </si>
  <si>
    <t>metri</t>
  </si>
  <si>
    <t>mm di</t>
  </si>
  <si>
    <t>mercurio</t>
  </si>
  <si>
    <t>libbre su</t>
  </si>
  <si>
    <t>C</t>
  </si>
  <si>
    <t>superficie</t>
  </si>
  <si>
    <t>p. su mat.</t>
  </si>
  <si>
    <t>p. su olio</t>
  </si>
  <si>
    <t>pressione sul materiale in relazione alle viti</t>
  </si>
  <si>
    <t>vite media</t>
  </si>
  <si>
    <t>vite 2</t>
  </si>
  <si>
    <t>pressione sul materiale in relazione a pistone iniez.</t>
  </si>
  <si>
    <t>vel.perif.</t>
  </si>
  <si>
    <t>diametro</t>
  </si>
  <si>
    <t>corsa</t>
  </si>
  <si>
    <t>vel.media</t>
  </si>
  <si>
    <t>KN</t>
  </si>
  <si>
    <t>consumi elettrici</t>
  </si>
  <si>
    <t>consumo</t>
  </si>
  <si>
    <t>orario</t>
  </si>
  <si>
    <t>kWh</t>
  </si>
  <si>
    <t>coeff.</t>
  </si>
  <si>
    <t>kWh/kg</t>
  </si>
  <si>
    <t>ore</t>
  </si>
  <si>
    <t>annue</t>
  </si>
  <si>
    <t>annuo</t>
  </si>
  <si>
    <t>costo</t>
  </si>
  <si>
    <t>1 kWh</t>
  </si>
  <si>
    <t>€</t>
  </si>
  <si>
    <t>h</t>
  </si>
  <si>
    <t>tensione</t>
  </si>
  <si>
    <t>assorbim.</t>
  </si>
  <si>
    <t>ammesso</t>
  </si>
  <si>
    <t>sezione</t>
  </si>
  <si>
    <t>standard</t>
  </si>
  <si>
    <t>minima</t>
  </si>
  <si>
    <t>da</t>
  </si>
  <si>
    <t>tabella</t>
  </si>
  <si>
    <t>GEOMETRIA DELLA VITE:</t>
  </si>
  <si>
    <t>L/D</t>
  </si>
  <si>
    <t>passo</t>
  </si>
  <si>
    <t>medio</t>
  </si>
  <si>
    <t>filetto</t>
  </si>
  <si>
    <t>vite</t>
  </si>
  <si>
    <t>iniez.</t>
  </si>
  <si>
    <t>CALCOLO DEI VOLUMI:</t>
  </si>
  <si>
    <t>vol. max</t>
  </si>
  <si>
    <t>vol. vite +</t>
  </si>
  <si>
    <t>vol.nocc.</t>
  </si>
  <si>
    <t>vol. mat.</t>
  </si>
  <si>
    <t>vol.mat.</t>
  </si>
  <si>
    <t>iniettab.</t>
  </si>
  <si>
    <t>mat.su vite</t>
  </si>
  <si>
    <t>senza fil.</t>
  </si>
  <si>
    <t>filetti</t>
  </si>
  <si>
    <t>pos.0</t>
  </si>
  <si>
    <t>pos.max</t>
  </si>
  <si>
    <r>
      <t>cm</t>
    </r>
    <r>
      <rPr>
        <vertAlign val="superscript"/>
        <sz val="10"/>
        <color rgb="FF000000"/>
        <rFont val="Calibri"/>
      </rPr>
      <t>3</t>
    </r>
  </si>
  <si>
    <t>CALCOLO TEMPO DI PERMANENZA IN VITE:</t>
  </si>
  <si>
    <t>dens.</t>
  </si>
  <si>
    <t>cuscino</t>
  </si>
  <si>
    <t>num. Stam-</t>
  </si>
  <si>
    <t>tempo di</t>
  </si>
  <si>
    <t>in vite</t>
  </si>
  <si>
    <t>pate in vite</t>
  </si>
  <si>
    <t>permanenz</t>
  </si>
  <si>
    <t>D(pistone)</t>
  </si>
  <si>
    <t>F(pistone)</t>
  </si>
  <si>
    <t>tempo iniez</t>
  </si>
  <si>
    <t>D. vite</t>
  </si>
  <si>
    <t>D. nocciolo</t>
  </si>
  <si>
    <r>
      <t>allungamento d</t>
    </r>
    <r>
      <rPr>
        <b/>
        <sz val="10"/>
        <color rgb="FF000000"/>
        <rFont val="Calibri"/>
      </rPr>
      <t xml:space="preserve">i 4 </t>
    </r>
    <r>
      <rPr>
        <b/>
        <sz val="10"/>
        <color rgb="FF000000"/>
        <rFont val="Calibri"/>
      </rPr>
      <t>colonne 38NCD4</t>
    </r>
  </si>
  <si>
    <t>*  mm</t>
  </si>
  <si>
    <t>* valori medi</t>
  </si>
  <si>
    <t xml:space="preserve"> sp. cresta</t>
  </si>
  <si>
    <t>snervamento</t>
  </si>
  <si>
    <t>produttività oraria ed annua</t>
  </si>
  <si>
    <t>numero</t>
  </si>
  <si>
    <t>impronte</t>
  </si>
  <si>
    <t>oraria</t>
  </si>
  <si>
    <t>num. ore</t>
  </si>
  <si>
    <t>prod.annua</t>
  </si>
  <si>
    <t>milioni</t>
  </si>
  <si>
    <t>cam.calda</t>
  </si>
  <si>
    <t>CADUTA DI TENSIONE</t>
  </si>
  <si>
    <t>caduta</t>
  </si>
  <si>
    <t>cavo x fase</t>
  </si>
  <si>
    <t>trifase</t>
  </si>
  <si>
    <t>monofase</t>
  </si>
  <si>
    <t>continua</t>
  </si>
  <si>
    <t>rame</t>
  </si>
  <si>
    <t>resistività</t>
  </si>
  <si>
    <r>
      <t>Ω·mm</t>
    </r>
    <r>
      <rPr>
        <vertAlign val="superscript"/>
        <sz val="10"/>
        <color rgb="FF000000"/>
        <rFont val="Calibri"/>
      </rPr>
      <t>2</t>
    </r>
    <r>
      <rPr>
        <sz val="10"/>
        <color rgb="FF000000"/>
        <rFont val="Calibri"/>
      </rPr>
      <t>/m</t>
    </r>
  </si>
  <si>
    <t>rame 0°C</t>
  </si>
  <si>
    <t>di lavoro</t>
  </si>
  <si>
    <t>coeff.temp.</t>
  </si>
  <si>
    <t>1/°C</t>
  </si>
  <si>
    <t>Ω</t>
  </si>
  <si>
    <t>resist.1cavo</t>
  </si>
  <si>
    <t>attiva</t>
  </si>
  <si>
    <r>
      <t>assorb.</t>
    </r>
    <r>
      <rPr>
        <sz val="10"/>
        <color rgb="FF000000"/>
        <rFont val="Calibri"/>
      </rPr>
      <t>max</t>
    </r>
  </si>
  <si>
    <t>kW</t>
  </si>
  <si>
    <t>Volume di una tramoggia cilindrica con base conica</t>
  </si>
  <si>
    <t>Diam. Int.</t>
  </si>
  <si>
    <t>H. conico</t>
  </si>
  <si>
    <t>lt</t>
  </si>
  <si>
    <t>H. clindrico</t>
  </si>
  <si>
    <t>Lato. Int.</t>
  </si>
  <si>
    <t>H. quadrato</t>
  </si>
  <si>
    <t>H. raccordo</t>
  </si>
  <si>
    <t>litri</t>
  </si>
  <si>
    <t>in peso</t>
  </si>
  <si>
    <t>in volume</t>
  </si>
  <si>
    <t>comp.3</t>
  </si>
  <si>
    <t>comp.4</t>
  </si>
  <si>
    <t>comp.5</t>
  </si>
  <si>
    <t>Kg</t>
  </si>
  <si>
    <t>Pesi Specifici</t>
  </si>
  <si>
    <t>Vetro</t>
  </si>
  <si>
    <t>Talco</t>
  </si>
  <si>
    <t>a 20°C</t>
  </si>
  <si>
    <t>SAN</t>
  </si>
  <si>
    <t>ASA</t>
  </si>
  <si>
    <t>LDPE</t>
  </si>
  <si>
    <t>HDPE</t>
  </si>
  <si>
    <t>PMMA</t>
  </si>
  <si>
    <t>POM</t>
  </si>
  <si>
    <t>PC</t>
  </si>
  <si>
    <t>PET</t>
  </si>
  <si>
    <t>PA66</t>
  </si>
  <si>
    <t>PUR</t>
  </si>
  <si>
    <t>STANDARD</t>
  </si>
  <si>
    <t>rame mm2</t>
  </si>
  <si>
    <t>m</t>
  </si>
  <si>
    <t>pollici</t>
  </si>
  <si>
    <t>piedi</t>
  </si>
  <si>
    <t>miglia</t>
  </si>
  <si>
    <t>kN</t>
  </si>
  <si>
    <t>Kgr(f)</t>
  </si>
  <si>
    <t>ton(f)</t>
  </si>
  <si>
    <t>libbre</t>
  </si>
  <si>
    <t>metri cubi</t>
  </si>
  <si>
    <t>cl</t>
  </si>
  <si>
    <t>cc(cm3)</t>
  </si>
  <si>
    <t>gallone (US)</t>
  </si>
  <si>
    <t>gallone(imp)</t>
  </si>
  <si>
    <t>once-oz</t>
  </si>
  <si>
    <t>Classificazione EUROMAP Gruppo di Iniezione</t>
  </si>
  <si>
    <t>massima</t>
  </si>
  <si>
    <t>press. Max</t>
  </si>
  <si>
    <t>su materiale</t>
  </si>
  <si>
    <t>iniettabile</t>
  </si>
  <si>
    <t>GRUPPO</t>
  </si>
  <si>
    <t>INIEZIONE</t>
  </si>
  <si>
    <t>EUROMAP</t>
  </si>
  <si>
    <t>i calcoli sono riferiti ai valori della stessa riga</t>
  </si>
  <si>
    <t>rottura</t>
  </si>
  <si>
    <t>giorno</t>
  </si>
  <si>
    <t>num. giorni</t>
  </si>
  <si>
    <t>annu1</t>
  </si>
  <si>
    <t>pot.max</t>
  </si>
  <si>
    <t>stampo</t>
  </si>
  <si>
    <t>temp.</t>
  </si>
  <si>
    <t>fuso</t>
  </si>
  <si>
    <t>st. tot.</t>
  </si>
  <si>
    <t>%</t>
  </si>
  <si>
    <t>coeff.cons.</t>
  </si>
  <si>
    <t>classificaz.</t>
  </si>
  <si>
    <t>Modificare solo le celle azzurre</t>
  </si>
  <si>
    <t>ipotetico</t>
  </si>
  <si>
    <t>ipotetica</t>
  </si>
  <si>
    <t>poll. quadro</t>
  </si>
  <si>
    <t>TEMPERATURE</t>
  </si>
  <si>
    <t>PRESSIONE</t>
  </si>
  <si>
    <t>ENERGIA</t>
  </si>
  <si>
    <t>POTENZA</t>
  </si>
  <si>
    <t>VOLUMI</t>
  </si>
  <si>
    <t>FORZA</t>
  </si>
  <si>
    <t>LUNGHEZZA</t>
  </si>
  <si>
    <t>Volume di una tramoggia quadrata con base piramide rovesc.</t>
  </si>
  <si>
    <t>coeff.granuli</t>
  </si>
  <si>
    <t>specifico</t>
  </si>
  <si>
    <t>FUSO</t>
  </si>
  <si>
    <t>pot.termica</t>
  </si>
  <si>
    <t>miglia naut.</t>
  </si>
  <si>
    <t>TRIFASE - dimensionamento del cavo</t>
  </si>
  <si>
    <t>assorb.</t>
  </si>
  <si>
    <t>per mmq</t>
  </si>
  <si>
    <t xml:space="preserve">CAVI </t>
  </si>
  <si>
    <t>OLTRE LA SEZIONE 95</t>
  </si>
  <si>
    <t>CONVIENE UTILIZZARE</t>
  </si>
  <si>
    <t>UN NUMERO SUFFICIENTE</t>
  </si>
  <si>
    <t>DI CAVI PIÙ PICCOLI IN PARALLELO</t>
  </si>
  <si>
    <t>metri quadri</t>
  </si>
  <si>
    <t>ara</t>
  </si>
  <si>
    <t>centiara</t>
  </si>
  <si>
    <t>ettaro</t>
  </si>
  <si>
    <t>acro int.</t>
  </si>
  <si>
    <t>miglio q.</t>
  </si>
  <si>
    <t>SUPERFICI grandi</t>
  </si>
  <si>
    <t>SUPERFICI piccole</t>
  </si>
  <si>
    <t>cm quadri</t>
  </si>
  <si>
    <t>pollice q.</t>
  </si>
  <si>
    <t>mm quadri</t>
  </si>
  <si>
    <t>Km quadro</t>
  </si>
  <si>
    <t>piede q.</t>
  </si>
  <si>
    <t>i calcoli sono prevalentemente inerenti lo stampaggio ad iniezione delle materie plastiche</t>
  </si>
  <si>
    <t>PERCHÉ PIÙ MANEGGEVOLI</t>
  </si>
  <si>
    <t>velocità</t>
  </si>
  <si>
    <t>cm3/sec</t>
  </si>
  <si>
    <t>volume max</t>
  </si>
  <si>
    <t>corsa max</t>
  </si>
  <si>
    <r>
      <t>Velocità media di iniezione rilevata</t>
    </r>
    <r>
      <rPr>
        <sz val="10"/>
        <color rgb="FF000000"/>
        <rFont val="Calibri"/>
      </rPr>
      <t xml:space="preserve"> (prima riga)</t>
    </r>
  </si>
  <si>
    <r>
      <t>Velocità di iniezione di un plastificatore</t>
    </r>
    <r>
      <rPr>
        <sz val="10"/>
        <color rgb="FF000000"/>
        <rFont val="Calibri"/>
      </rPr>
      <t xml:space="preserve"> (dalle car.tecn.)</t>
    </r>
  </si>
  <si>
    <t>macchina</t>
  </si>
  <si>
    <t>giornaliere</t>
  </si>
  <si>
    <t>giorni</t>
  </si>
  <si>
    <t>annui</t>
  </si>
  <si>
    <t>anni</t>
  </si>
  <si>
    <t>ammort.</t>
  </si>
  <si>
    <t>num</t>
  </si>
  <si>
    <t xml:space="preserve">peso </t>
  </si>
  <si>
    <t>impronta</t>
  </si>
  <si>
    <t>produz.</t>
  </si>
  <si>
    <t>pezzo estr.</t>
  </si>
  <si>
    <t>COP</t>
  </si>
  <si>
    <t>frigorifero</t>
  </si>
  <si>
    <t>COSTO ORARIO TOTALE</t>
  </si>
  <si>
    <t>elettrico</t>
  </si>
  <si>
    <t>totale</t>
  </si>
  <si>
    <t>COSTO RAFFREDDAMENTO STAMPO CON FRIGORIFERO</t>
  </si>
  <si>
    <t>COSTO RAFFREDDAMENTO PRESSA CON FRIGORIFERO</t>
  </si>
  <si>
    <t>COSTO ELETTRICO PRESSA</t>
  </si>
  <si>
    <t>AMMORTAMENTO PRESSA</t>
  </si>
  <si>
    <t>imp.oleod.</t>
  </si>
  <si>
    <t>perdite cal.</t>
  </si>
  <si>
    <t>necessario</t>
  </si>
  <si>
    <t>pressa</t>
  </si>
  <si>
    <t>€/h</t>
  </si>
  <si>
    <t>al pezzo</t>
  </si>
  <si>
    <t>pezzi</t>
  </si>
  <si>
    <t>annua</t>
  </si>
  <si>
    <t>giornaliera</t>
  </si>
  <si>
    <t>area poligono regolare</t>
  </si>
  <si>
    <t>lati</t>
  </si>
  <si>
    <t>lato</t>
  </si>
  <si>
    <t>apotema</t>
  </si>
  <si>
    <t>TABELLA DEL CALCOLO DEL COSTO ORARIO</t>
  </si>
  <si>
    <t>Tabella Densità di una miscela in peso</t>
  </si>
  <si>
    <t>Tabella Densità di una miscela in volume</t>
  </si>
  <si>
    <t>Tabella ciclo stampaggio, plastificazione, raffreddamento stampo</t>
  </si>
  <si>
    <t>ad eccezione dei quadri denominati Tabella</t>
  </si>
  <si>
    <t>Tabella STAMPO diagonale, peso, riscaldamento</t>
  </si>
  <si>
    <r>
      <rPr>
        <b/>
        <sz val="10"/>
        <color rgb="FF000000"/>
        <rFont val="Calibri"/>
      </rPr>
      <t xml:space="preserve">Tabella </t>
    </r>
    <r>
      <rPr>
        <b/>
        <sz val="10"/>
        <color rgb="FF000000"/>
        <rFont val="Calibri"/>
      </rPr>
      <t>CALCOLO TEMPO DI PERMANENZA IN VITE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</si>
</sst>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-;\-* #,##0.00_-;_-* &quot;-&quot;??_-;_-@_-"/>
    <numFmt numFmtId="165" formatCode="0.0"/>
    <numFmt numFmtId="166" formatCode="#,##0.000"/>
    <numFmt numFmtId="167" formatCode="0_ ;\-0\ "/>
    <numFmt numFmtId="168" formatCode="#,##0.0"/>
    <numFmt numFmtId="169" formatCode="_-* #,##0_-;\-* #,##0_-;_-* &quot;-&quot;??_-;_-@_-"/>
    <numFmt numFmtId="170" formatCode="0.000"/>
    <numFmt numFmtId="171" formatCode="_(* #,##0_);_(* \(#,##0\);_(* &quot;-&quot;??_);_(@_)"/>
    <numFmt numFmtId="172" formatCode="_(* #,##0.0_);_(* \(#,##0.0\);_(* &quot;-&quot;??_);_(@_)"/>
    <numFmt numFmtId="173" formatCode="0.0000"/>
    <numFmt numFmtId="174" formatCode="0.0%"/>
    <numFmt numFmtId="175" formatCode="#,##0_ ;\-#,##0\ "/>
    <numFmt numFmtId="176" formatCode="_(* #,##0.000_);_(* \(#,##0.000\);_(* &quot;-&quot;??_);_(@_)"/>
    <numFmt numFmtId="177" formatCode="0.0_ ;\-0.0\ "/>
  </numFmts>
  <fonts count="16" x14ac:knownFonts="1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vertAlign val="superscript"/>
      <sz val="10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1"/>
      <name val="Calibri"/>
    </font>
    <font>
      <sz val="8"/>
      <color rgb="FF000000"/>
      <name val="Calibri"/>
    </font>
    <font>
      <sz val="8"/>
      <name val="Calibri"/>
    </font>
    <font>
      <b/>
      <sz val="9"/>
      <color indexed="8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77">
    <border>
      <left/>
      <right/>
      <top/>
      <bottom/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ck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ck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 style="thin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ck">
        <color theme="3" tint="0.39997558519241921"/>
      </right>
      <top style="thin">
        <color theme="3" tint="0.39997558519241921"/>
      </top>
      <bottom/>
      <diagonal/>
    </border>
    <border>
      <left style="thick">
        <color theme="3" tint="0.39997558519241921"/>
      </left>
      <right style="thin">
        <color theme="3" tint="0.39997558519241921"/>
      </right>
      <top style="thick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ck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n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 style="thick">
        <color theme="3" tint="0.39997558519241921"/>
      </top>
      <bottom/>
      <diagonal/>
    </border>
    <border>
      <left style="thin">
        <color theme="3" tint="0.39997558519241921"/>
      </left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 style="thick">
        <color theme="3" tint="0.39997558519241921"/>
      </top>
      <bottom style="thin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ck">
        <color theme="3" tint="0.39997558519241921"/>
      </top>
      <bottom style="thin">
        <color theme="3" tint="0.39997558519241921"/>
      </bottom>
      <diagonal/>
    </border>
    <border>
      <left/>
      <right style="thick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ck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n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ck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 style="thin">
        <color theme="3" tint="0.39997558519241921"/>
      </top>
      <bottom/>
      <diagonal/>
    </border>
    <border>
      <left style="thick">
        <color theme="3" tint="0.39997558519241921"/>
      </left>
      <right/>
      <top/>
      <bottom style="thin">
        <color theme="3" tint="0.39997558519241921"/>
      </bottom>
      <diagonal/>
    </border>
    <border>
      <left/>
      <right style="thick">
        <color theme="3" tint="0.39997558519241921"/>
      </right>
      <top/>
      <bottom style="thin">
        <color theme="3" tint="0.39997558519241921"/>
      </bottom>
      <diagonal/>
    </border>
    <border>
      <left style="thick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ck">
        <color rgb="FF538DD5"/>
      </left>
      <right style="thin">
        <color rgb="FF538DD5"/>
      </right>
      <top/>
      <bottom/>
      <diagonal/>
    </border>
    <border>
      <left/>
      <right style="thin">
        <color rgb="FF538DD5"/>
      </right>
      <top/>
      <bottom/>
      <diagonal/>
    </border>
    <border>
      <left style="thick">
        <color rgb="FF538DD5"/>
      </left>
      <right style="thin">
        <color rgb="FF538DD5"/>
      </right>
      <top/>
      <bottom style="thin">
        <color rgb="FF538DD5"/>
      </bottom>
      <diagonal/>
    </border>
    <border>
      <left/>
      <right style="thin">
        <color rgb="FF538DD5"/>
      </right>
      <top/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ck">
        <color theme="3" tint="0.39997558519241921"/>
      </right>
      <top/>
      <bottom style="thin">
        <color rgb="FF538DD5"/>
      </bottom>
      <diagonal/>
    </border>
    <border>
      <left/>
      <right style="thick">
        <color theme="3" tint="0.39997558519241921"/>
      </right>
      <top style="thin">
        <color rgb="FF538DD5"/>
      </top>
      <bottom style="thin">
        <color rgb="FF538DD5"/>
      </bottom>
      <diagonal/>
    </border>
    <border>
      <left style="thin">
        <color rgb="FF538DD5"/>
      </left>
      <right style="thick">
        <color rgb="FF538DD5"/>
      </right>
      <top style="thin">
        <color rgb="FF538DD5"/>
      </top>
      <bottom/>
      <diagonal/>
    </border>
    <border>
      <left style="thin">
        <color rgb="FF538DD5"/>
      </left>
      <right style="thick">
        <color rgb="FF538DD5"/>
      </right>
      <top/>
      <bottom style="thin">
        <color rgb="FF538DD5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 style="thin">
        <color rgb="FF538DD5"/>
      </top>
      <bottom/>
      <diagonal/>
    </border>
    <border>
      <left/>
      <right style="thin">
        <color rgb="FF538DD5"/>
      </right>
      <top style="thin">
        <color rgb="FF538DD5"/>
      </top>
      <bottom/>
      <diagonal/>
    </border>
    <border>
      <left style="thin">
        <color rgb="FF538DD5"/>
      </left>
      <right style="thick">
        <color theme="3" tint="0.39997558519241921"/>
      </right>
      <top style="thin">
        <color rgb="FF538DD5"/>
      </top>
      <bottom/>
      <diagonal/>
    </border>
    <border>
      <left style="thick">
        <color rgb="FF538DD5"/>
      </left>
      <right/>
      <top/>
      <bottom style="thin">
        <color rgb="FF538DD5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/>
      <bottom style="thin">
        <color rgb="FF538DD5"/>
      </bottom>
      <diagonal/>
    </border>
    <border>
      <left style="thick">
        <color theme="3" tint="0.39997558519241921"/>
      </left>
      <right style="thin">
        <color theme="3" tint="0.39997558519241921"/>
      </right>
      <top style="thin">
        <color rgb="FF538DD5"/>
      </top>
      <bottom style="thin">
        <color rgb="FF538DD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rgb="FF538DD5"/>
      </top>
      <bottom style="thin">
        <color rgb="FF538DD5"/>
      </bottom>
      <diagonal/>
    </border>
    <border>
      <left style="thin">
        <color theme="3" tint="0.39997558519241921"/>
      </left>
      <right style="thick">
        <color theme="3" tint="0.39997558519241921"/>
      </right>
      <top style="thin">
        <color rgb="FF538DD5"/>
      </top>
      <bottom style="thin">
        <color rgb="FF538DD5"/>
      </bottom>
      <diagonal/>
    </border>
    <border>
      <left style="thick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 style="thin">
        <color rgb="FF538DD5"/>
      </left>
      <right style="thick">
        <color theme="3" tint="0.39997558519241921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theme="3" tint="0.39997558519241921"/>
      </top>
      <bottom style="thick">
        <color rgb="FF538DD5"/>
      </bottom>
      <diagonal/>
    </border>
    <border>
      <left/>
      <right style="thick">
        <color theme="3" tint="0.39997558519241921"/>
      </right>
      <top style="thin">
        <color theme="3" tint="0.39997558519241921"/>
      </top>
      <bottom style="thick">
        <color rgb="FF538DD5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n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3" tint="0.39997558519241921"/>
      </right>
      <top/>
      <bottom/>
      <diagonal/>
    </border>
  </borders>
  <cellStyleXfs count="211">
    <xf numFmtId="0" fontId="0" fillId="0" borderId="0"/>
    <xf numFmtId="164" fontId="8" fillId="0" borderId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19">
    <xf numFmtId="0" fontId="0" fillId="0" borderId="0" xfId="0" applyAlignment="1"/>
    <xf numFmtId="0" fontId="1" fillId="0" borderId="0" xfId="0" applyFont="1" applyAlignment="1">
      <alignment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" fontId="2" fillId="2" borderId="27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165" fontId="2" fillId="2" borderId="28" xfId="0" applyNumberFormat="1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3" borderId="28" xfId="0" applyNumberFormat="1" applyFont="1" applyFill="1" applyBorder="1" applyAlignment="1" applyProtection="1">
      <alignment horizontal="center" vertical="center"/>
      <protection locked="0"/>
    </xf>
    <xf numFmtId="165" fontId="2" fillId="2" borderId="29" xfId="0" applyNumberFormat="1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 applyProtection="1">
      <alignment horizontal="center" vertical="center"/>
      <protection locked="0"/>
    </xf>
    <xf numFmtId="1" fontId="2" fillId="2" borderId="28" xfId="0" applyNumberFormat="1" applyFont="1" applyFill="1" applyBorder="1" applyAlignment="1">
      <alignment horizontal="center" vertical="center"/>
    </xf>
    <xf numFmtId="1" fontId="2" fillId="3" borderId="28" xfId="0" applyNumberFormat="1" applyFont="1" applyFill="1" applyBorder="1" applyAlignment="1" applyProtection="1">
      <alignment horizontal="center" vertical="center"/>
      <protection locked="0"/>
    </xf>
    <xf numFmtId="165" fontId="2" fillId="2" borderId="28" xfId="0" applyNumberFormat="1" applyFont="1" applyFill="1" applyBorder="1" applyAlignment="1">
      <alignment horizontal="center" vertical="center"/>
    </xf>
    <xf numFmtId="2" fontId="2" fillId="3" borderId="27" xfId="0" quotePrefix="1" applyNumberFormat="1" applyFont="1" applyFill="1" applyBorder="1" applyAlignment="1" applyProtection="1">
      <alignment horizontal="center" vertical="center"/>
      <protection locked="0"/>
    </xf>
    <xf numFmtId="168" fontId="2" fillId="2" borderId="28" xfId="0" applyNumberFormat="1" applyFont="1" applyFill="1" applyBorder="1" applyAlignment="1">
      <alignment horizontal="center" vertical="center"/>
    </xf>
    <xf numFmtId="2" fontId="2" fillId="2" borderId="27" xfId="0" quotePrefix="1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170" fontId="2" fillId="6" borderId="5" xfId="0" applyNumberFormat="1" applyFont="1" applyFill="1" applyBorder="1" applyAlignment="1" applyProtection="1">
      <alignment horizontal="center" vertical="center"/>
      <protection locked="0"/>
    </xf>
    <xf numFmtId="170" fontId="2" fillId="6" borderId="6" xfId="0" applyNumberFormat="1" applyFont="1" applyFill="1" applyBorder="1" applyAlignment="1" applyProtection="1">
      <alignment horizontal="center" vertical="center"/>
      <protection locked="0"/>
    </xf>
    <xf numFmtId="170" fontId="2" fillId="5" borderId="6" xfId="0" applyNumberFormat="1" applyFont="1" applyFill="1" applyBorder="1" applyAlignment="1">
      <alignment horizontal="center" vertical="center"/>
    </xf>
    <xf numFmtId="174" fontId="1" fillId="2" borderId="5" xfId="0" applyNumberFormat="1" applyFont="1" applyFill="1" applyBorder="1" applyAlignment="1" applyProtection="1">
      <alignment horizontal="center" vertical="center"/>
    </xf>
    <xf numFmtId="174" fontId="1" fillId="2" borderId="6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174" fontId="1" fillId="2" borderId="8" xfId="36" applyNumberFormat="1" applyFont="1" applyFill="1" applyBorder="1" applyAlignment="1" applyProtection="1">
      <alignment horizontal="center" vertical="center"/>
      <protection locked="0"/>
    </xf>
    <xf numFmtId="174" fontId="1" fillId="2" borderId="9" xfId="36" applyNumberFormat="1" applyFont="1" applyFill="1" applyBorder="1" applyAlignment="1" applyProtection="1">
      <alignment horizontal="center" vertical="center"/>
      <protection locked="0"/>
    </xf>
    <xf numFmtId="9" fontId="1" fillId="2" borderId="9" xfId="36" applyNumberFormat="1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>
      <alignment horizontal="center" vertical="center"/>
    </xf>
    <xf numFmtId="9" fontId="2" fillId="3" borderId="28" xfId="36" applyFont="1" applyFill="1" applyBorder="1" applyAlignment="1" applyProtection="1">
      <alignment horizontal="center" vertical="center"/>
      <protection locked="0"/>
    </xf>
    <xf numFmtId="2" fontId="2" fillId="3" borderId="28" xfId="0" applyNumberFormat="1" applyFont="1" applyFill="1" applyBorder="1" applyAlignment="1" applyProtection="1">
      <alignment horizontal="center" vertical="center"/>
      <protection locked="0"/>
    </xf>
    <xf numFmtId="1" fontId="2" fillId="2" borderId="28" xfId="0" applyNumberFormat="1" applyFont="1" applyFill="1" applyBorder="1" applyAlignment="1" applyProtection="1">
      <alignment horizontal="center" vertical="center"/>
    </xf>
    <xf numFmtId="1" fontId="2" fillId="5" borderId="29" xfId="0" applyNumberFormat="1" applyFont="1" applyFill="1" applyBorder="1" applyAlignment="1">
      <alignment horizontal="center" vertical="center"/>
    </xf>
    <xf numFmtId="170" fontId="2" fillId="3" borderId="27" xfId="0" applyNumberFormat="1" applyFont="1" applyFill="1" applyBorder="1" applyAlignment="1" applyProtection="1">
      <alignment horizontal="center" vertical="center"/>
      <protection locked="0"/>
    </xf>
    <xf numFmtId="170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170" fontId="2" fillId="3" borderId="28" xfId="0" applyNumberFormat="1" applyFont="1" applyFill="1" applyBorder="1" applyAlignment="1" applyProtection="1">
      <alignment horizontal="center" vertical="center"/>
      <protection locked="0"/>
    </xf>
    <xf numFmtId="1" fontId="2" fillId="5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 applyProtection="1">
      <alignment horizontal="center" vertical="center"/>
      <protection locked="0"/>
    </xf>
    <xf numFmtId="170" fontId="2" fillId="2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70" fontId="2" fillId="2" borderId="29" xfId="0" applyNumberFormat="1" applyFont="1" applyFill="1" applyBorder="1" applyAlignment="1">
      <alignment horizontal="center" vertical="center"/>
    </xf>
    <xf numFmtId="170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2" borderId="27" xfId="0" applyNumberFormat="1" applyFont="1" applyFill="1" applyBorder="1" applyAlignment="1">
      <alignment horizontal="center" vertical="center"/>
    </xf>
    <xf numFmtId="165" fontId="2" fillId="3" borderId="27" xfId="0" applyNumberFormat="1" applyFont="1" applyFill="1" applyBorder="1" applyAlignment="1" applyProtection="1">
      <alignment horizontal="center" vertical="center"/>
      <protection locked="0"/>
    </xf>
    <xf numFmtId="172" fontId="2" fillId="2" borderId="28" xfId="0" applyNumberFormat="1" applyFont="1" applyFill="1" applyBorder="1" applyAlignment="1">
      <alignment horizontal="center" vertical="center"/>
    </xf>
    <xf numFmtId="0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5" borderId="28" xfId="0" quotePrefix="1" applyFont="1" applyFill="1" applyBorder="1" applyAlignment="1">
      <alignment horizontal="center" vertical="center"/>
    </xf>
    <xf numFmtId="172" fontId="2" fillId="2" borderId="2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2" fontId="1" fillId="5" borderId="28" xfId="0" applyNumberFormat="1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173" fontId="1" fillId="5" borderId="28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2" fillId="6" borderId="27" xfId="0" applyFont="1" applyFill="1" applyBorder="1" applyAlignment="1" applyProtection="1">
      <alignment horizontal="center" vertical="center"/>
      <protection locked="0"/>
    </xf>
    <xf numFmtId="0" fontId="2" fillId="5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2" fillId="3" borderId="27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 applyAlignment="1" applyProtection="1">
      <alignment vertical="center"/>
      <protection locked="0"/>
    </xf>
    <xf numFmtId="2" fontId="5" fillId="5" borderId="27" xfId="0" applyNumberFormat="1" applyFont="1" applyFill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2" fontId="2" fillId="6" borderId="27" xfId="0" applyNumberFormat="1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1" fontId="2" fillId="5" borderId="41" xfId="0" applyNumberFormat="1" applyFont="1" applyFill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right" vertical="center"/>
    </xf>
    <xf numFmtId="166" fontId="2" fillId="2" borderId="28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66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71" fontId="1" fillId="5" borderId="36" xfId="0" applyNumberFormat="1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171" fontId="2" fillId="5" borderId="22" xfId="0" applyNumberFormat="1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71" fontId="4" fillId="5" borderId="1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71" fontId="1" fillId="5" borderId="2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171" fontId="4" fillId="5" borderId="12" xfId="0" applyNumberFormat="1" applyFont="1" applyFill="1" applyBorder="1" applyAlignment="1">
      <alignment horizontal="left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71" fontId="4" fillId="5" borderId="26" xfId="0" applyNumberFormat="1" applyFont="1" applyFill="1" applyBorder="1" applyAlignment="1">
      <alignment horizontal="center" vertical="center"/>
    </xf>
    <xf numFmtId="171" fontId="1" fillId="5" borderId="8" xfId="0" applyNumberFormat="1" applyFont="1" applyFill="1" applyBorder="1" applyAlignment="1">
      <alignment horizontal="center" vertical="center"/>
    </xf>
    <xf numFmtId="171" fontId="4" fillId="5" borderId="9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7" fillId="5" borderId="36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2" fontId="7" fillId="5" borderId="0" xfId="0" applyNumberFormat="1" applyFont="1" applyFill="1" applyBorder="1" applyAlignment="1">
      <alignment vertical="center"/>
    </xf>
    <xf numFmtId="0" fontId="6" fillId="5" borderId="36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169" fontId="6" fillId="5" borderId="2" xfId="1" applyNumberFormat="1" applyFont="1" applyFill="1" applyBorder="1" applyAlignment="1" applyProtection="1">
      <alignment horizontal="left" vertical="center"/>
    </xf>
    <xf numFmtId="169" fontId="7" fillId="5" borderId="3" xfId="1" applyNumberFormat="1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" fillId="5" borderId="35" xfId="0" applyFont="1" applyFill="1" applyBorder="1" applyAlignment="1">
      <alignment horizontal="left" vertical="center"/>
    </xf>
    <xf numFmtId="1" fontId="2" fillId="5" borderId="22" xfId="0" applyNumberFormat="1" applyFont="1" applyFill="1" applyBorder="1" applyAlignment="1">
      <alignment horizontal="left" vertical="center"/>
    </xf>
    <xf numFmtId="1" fontId="2" fillId="5" borderId="23" xfId="0" applyNumberFormat="1" applyFont="1" applyFill="1" applyBorder="1" applyAlignment="1">
      <alignment horizontal="center" vertical="center"/>
    </xf>
    <xf numFmtId="165" fontId="2" fillId="5" borderId="23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left" vertical="center"/>
    </xf>
    <xf numFmtId="1" fontId="1" fillId="5" borderId="6" xfId="0" applyNumberFormat="1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165" fontId="1" fillId="5" borderId="13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left" vertical="center"/>
    </xf>
    <xf numFmtId="0" fontId="2" fillId="5" borderId="39" xfId="0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left" vertical="center"/>
    </xf>
    <xf numFmtId="0" fontId="1" fillId="5" borderId="24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vertical="center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0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5" borderId="35" xfId="0" applyFont="1" applyFill="1" applyBorder="1" applyAlignment="1">
      <alignment vertical="center"/>
    </xf>
    <xf numFmtId="1" fontId="2" fillId="5" borderId="0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>
      <alignment horizontal="center" vertical="center"/>
    </xf>
    <xf numFmtId="1" fontId="2" fillId="5" borderId="30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13" fillId="5" borderId="3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>
      <alignment horizontal="center" vertical="center"/>
    </xf>
    <xf numFmtId="167" fontId="2" fillId="5" borderId="0" xfId="1" applyNumberFormat="1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70" fontId="2" fillId="5" borderId="0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68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5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30" xfId="0" quotePrefix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165" fontId="2" fillId="5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 applyProtection="1">
      <alignment horizontal="left"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3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174" fontId="1" fillId="2" borderId="0" xfId="36" applyNumberFormat="1" applyFont="1" applyFill="1" applyBorder="1" applyAlignment="1" applyProtection="1">
      <alignment horizontal="center" vertical="center"/>
      <protection locked="0"/>
    </xf>
    <xf numFmtId="9" fontId="1" fillId="2" borderId="0" xfId="36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 applyProtection="1">
      <alignment vertical="center"/>
    </xf>
    <xf numFmtId="9" fontId="2" fillId="2" borderId="3" xfId="36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5" borderId="3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 applyProtection="1">
      <alignment horizontal="center" vertical="center"/>
    </xf>
    <xf numFmtId="175" fontId="6" fillId="5" borderId="0" xfId="1" applyNumberFormat="1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  <protection locked="0"/>
    </xf>
    <xf numFmtId="175" fontId="6" fillId="5" borderId="0" xfId="1" applyNumberFormat="1" applyFont="1" applyFill="1" applyBorder="1" applyAlignment="1">
      <alignment horizontal="center" vertical="center"/>
      <protection locked="0"/>
    </xf>
    <xf numFmtId="0" fontId="2" fillId="5" borderId="0" xfId="0" applyFont="1" applyFill="1" applyAlignment="1">
      <alignment vertical="center"/>
    </xf>
    <xf numFmtId="170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" vertical="center"/>
    </xf>
    <xf numFmtId="17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172" fontId="2" fillId="2" borderId="3" xfId="0" applyNumberFormat="1" applyFont="1" applyFill="1" applyBorder="1" applyAlignment="1">
      <alignment horizontal="center" vertical="center"/>
    </xf>
    <xf numFmtId="173" fontId="1" fillId="5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>
      <alignment horizontal="left" vertical="center"/>
    </xf>
    <xf numFmtId="0" fontId="1" fillId="5" borderId="44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/>
    </xf>
    <xf numFmtId="1" fontId="5" fillId="5" borderId="29" xfId="0" applyNumberFormat="1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vertical="center"/>
    </xf>
    <xf numFmtId="165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1" fontId="5" fillId="5" borderId="28" xfId="0" applyNumberFormat="1" applyFont="1" applyFill="1" applyBorder="1" applyAlignment="1">
      <alignment horizontal="center" vertical="center"/>
    </xf>
    <xf numFmtId="173" fontId="2" fillId="2" borderId="28" xfId="0" applyNumberFormat="1" applyFont="1" applyFill="1" applyBorder="1" applyAlignment="1">
      <alignment horizontal="center" vertical="center"/>
    </xf>
    <xf numFmtId="173" fontId="2" fillId="3" borderId="28" xfId="0" applyNumberFormat="1" applyFont="1" applyFill="1" applyBorder="1" applyAlignment="1" applyProtection="1">
      <alignment horizontal="center" vertical="center"/>
      <protection locked="0"/>
    </xf>
    <xf numFmtId="173" fontId="2" fillId="2" borderId="29" xfId="0" applyNumberFormat="1" applyFont="1" applyFill="1" applyBorder="1" applyAlignment="1">
      <alignment horizontal="center" vertical="center"/>
    </xf>
    <xf numFmtId="173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>
      <alignment horizontal="center" vertical="center"/>
    </xf>
    <xf numFmtId="171" fontId="4" fillId="5" borderId="11" xfId="0" applyNumberFormat="1" applyFont="1" applyFill="1" applyBorder="1" applyAlignment="1">
      <alignment horizontal="center" vertical="center"/>
    </xf>
    <xf numFmtId="171" fontId="4" fillId="5" borderId="19" xfId="0" applyNumberFormat="1" applyFont="1" applyFill="1" applyBorder="1" applyAlignment="1">
      <alignment horizontal="center" vertical="center"/>
    </xf>
    <xf numFmtId="165" fontId="1" fillId="5" borderId="28" xfId="0" applyNumberFormat="1" applyFont="1" applyFill="1" applyBorder="1" applyAlignment="1">
      <alignment horizontal="center" vertical="center"/>
    </xf>
    <xf numFmtId="176" fontId="2" fillId="3" borderId="27" xfId="0" applyNumberFormat="1" applyFont="1" applyFill="1" applyBorder="1" applyAlignment="1" applyProtection="1">
      <alignment horizontal="center" vertical="center"/>
      <protection locked="0"/>
    </xf>
    <xf numFmtId="176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5" borderId="46" xfId="0" applyFont="1" applyFill="1" applyBorder="1" applyAlignment="1">
      <alignment horizontal="right" vertical="center"/>
    </xf>
    <xf numFmtId="0" fontId="2" fillId="5" borderId="47" xfId="0" applyFont="1" applyFill="1" applyBorder="1" applyAlignment="1">
      <alignment horizontal="left" vertical="center"/>
    </xf>
    <xf numFmtId="0" fontId="2" fillId="5" borderId="48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73" fontId="2" fillId="2" borderId="27" xfId="0" applyNumberFormat="1" applyFont="1" applyFill="1" applyBorder="1" applyAlignment="1">
      <alignment horizontal="center" vertical="center"/>
    </xf>
    <xf numFmtId="173" fontId="2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165" fontId="2" fillId="5" borderId="28" xfId="0" applyNumberFormat="1" applyFont="1" applyFill="1" applyBorder="1" applyAlignment="1">
      <alignment horizontal="center"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10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2" fillId="5" borderId="35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51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57" xfId="0" applyFont="1" applyFill="1" applyBorder="1" applyAlignment="1">
      <alignment horizontal="center" vertical="center"/>
    </xf>
    <xf numFmtId="0" fontId="1" fillId="7" borderId="5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2" fillId="0" borderId="27" xfId="0" applyNumberFormat="1" applyFont="1" applyFill="1" applyBorder="1" applyAlignment="1" applyProtection="1">
      <alignment horizontal="center" vertical="center"/>
    </xf>
    <xf numFmtId="0" fontId="1" fillId="5" borderId="59" xfId="0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/>
    </xf>
    <xf numFmtId="0" fontId="1" fillId="7" borderId="60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vertical="center"/>
    </xf>
    <xf numFmtId="0" fontId="2" fillId="7" borderId="64" xfId="0" applyFont="1" applyFill="1" applyBorder="1" applyAlignment="1">
      <alignment vertical="center"/>
    </xf>
    <xf numFmtId="0" fontId="1" fillId="7" borderId="64" xfId="0" applyFont="1" applyFill="1" applyBorder="1" applyAlignment="1">
      <alignment vertical="center"/>
    </xf>
    <xf numFmtId="0" fontId="1" fillId="7" borderId="47" xfId="0" applyFont="1" applyFill="1" applyBorder="1" applyAlignment="1">
      <alignment vertical="center"/>
    </xf>
    <xf numFmtId="0" fontId="2" fillId="7" borderId="65" xfId="0" applyFont="1" applyFill="1" applyBorder="1" applyAlignment="1">
      <alignment vertical="center"/>
    </xf>
    <xf numFmtId="0" fontId="1" fillId="7" borderId="65" xfId="0" applyFont="1" applyFill="1" applyBorder="1" applyAlignment="1">
      <alignment vertical="center"/>
    </xf>
    <xf numFmtId="0" fontId="1" fillId="7" borderId="55" xfId="0" applyFont="1" applyFill="1" applyBorder="1" applyAlignment="1">
      <alignment vertical="center"/>
    </xf>
    <xf numFmtId="0" fontId="2" fillId="3" borderId="66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/>
      <protection locked="0"/>
    </xf>
    <xf numFmtId="168" fontId="2" fillId="2" borderId="67" xfId="0" applyNumberFormat="1" applyFont="1" applyFill="1" applyBorder="1" applyAlignment="1">
      <alignment horizontal="center" vertical="center"/>
    </xf>
    <xf numFmtId="166" fontId="2" fillId="2" borderId="67" xfId="0" applyNumberFormat="1" applyFont="1" applyFill="1" applyBorder="1" applyAlignment="1">
      <alignment horizontal="center" vertical="center"/>
    </xf>
    <xf numFmtId="0" fontId="5" fillId="6" borderId="67" xfId="0" applyFont="1" applyFill="1" applyBorder="1" applyAlignment="1" applyProtection="1">
      <alignment horizontal="center" vertical="center"/>
      <protection locked="0"/>
    </xf>
    <xf numFmtId="0" fontId="2" fillId="6" borderId="67" xfId="0" applyFont="1" applyFill="1" applyBorder="1" applyAlignment="1" applyProtection="1">
      <alignment horizontal="center" vertical="center"/>
      <protection locked="0"/>
    </xf>
    <xf numFmtId="9" fontId="2" fillId="6" borderId="67" xfId="0" applyNumberFormat="1" applyFont="1" applyFill="1" applyBorder="1" applyAlignment="1" applyProtection="1">
      <alignment horizontal="center" vertical="center"/>
      <protection locked="0"/>
    </xf>
    <xf numFmtId="167" fontId="2" fillId="5" borderId="67" xfId="1" applyNumberFormat="1" applyFont="1" applyFill="1" applyBorder="1" applyAlignment="1" applyProtection="1">
      <alignment horizontal="center" vertical="center"/>
    </xf>
    <xf numFmtId="167" fontId="2" fillId="5" borderId="68" xfId="1" applyNumberFormat="1" applyFont="1" applyFill="1" applyBorder="1" applyAlignment="1" applyProtection="1">
      <alignment horizontal="center" vertical="center"/>
    </xf>
    <xf numFmtId="3" fontId="2" fillId="8" borderId="69" xfId="0" applyNumberFormat="1" applyFont="1" applyFill="1" applyBorder="1" applyAlignment="1" applyProtection="1">
      <alignment horizontal="center" vertical="center"/>
      <protection locked="0"/>
    </xf>
    <xf numFmtId="0" fontId="2" fillId="8" borderId="53" xfId="0" applyFont="1" applyFill="1" applyBorder="1" applyAlignment="1" applyProtection="1">
      <alignment horizontal="center" vertical="center"/>
      <protection locked="0"/>
    </xf>
    <xf numFmtId="3" fontId="2" fillId="2" borderId="67" xfId="0" applyNumberFormat="1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3" borderId="68" xfId="0" applyFont="1" applyFill="1" applyBorder="1" applyAlignment="1" applyProtection="1">
      <alignment horizontal="center" vertical="center"/>
      <protection locked="0"/>
    </xf>
    <xf numFmtId="177" fontId="2" fillId="5" borderId="9" xfId="1" applyNumberFormat="1" applyFont="1" applyFill="1" applyBorder="1" applyAlignment="1" applyProtection="1">
      <alignment horizontal="center" vertical="center"/>
    </xf>
    <xf numFmtId="0" fontId="1" fillId="7" borderId="71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165" fontId="2" fillId="5" borderId="29" xfId="0" applyNumberFormat="1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1" fillId="5" borderId="73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vertical="center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" fontId="2" fillId="2" borderId="74" xfId="0" applyNumberFormat="1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171" fontId="1" fillId="5" borderId="23" xfId="0" applyNumberFormat="1" applyFont="1" applyFill="1" applyBorder="1" applyAlignment="1">
      <alignment vertical="center"/>
    </xf>
    <xf numFmtId="1" fontId="6" fillId="6" borderId="5" xfId="1" applyNumberFormat="1" applyFont="1" applyFill="1" applyBorder="1" applyAlignment="1">
      <alignment horizontal="center" vertical="center"/>
      <protection locked="0"/>
    </xf>
    <xf numFmtId="1" fontId="6" fillId="6" borderId="6" xfId="1" applyNumberFormat="1" applyFont="1" applyFill="1" applyBorder="1" applyAlignment="1">
      <alignment horizontal="center" vertical="center"/>
      <protection locked="0"/>
    </xf>
    <xf numFmtId="1" fontId="6" fillId="5" borderId="6" xfId="1" applyNumberFormat="1" applyFont="1" applyFill="1" applyBorder="1" applyAlignment="1" applyProtection="1">
      <alignment horizontal="center" vertical="center"/>
      <protection locked="0"/>
    </xf>
    <xf numFmtId="165" fontId="6" fillId="5" borderId="5" xfId="1" applyNumberFormat="1" applyFont="1" applyFill="1" applyBorder="1" applyAlignment="1" applyProtection="1">
      <alignment horizontal="center" vertical="center"/>
    </xf>
    <xf numFmtId="165" fontId="6" fillId="5" borderId="6" xfId="1" applyNumberFormat="1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175" fontId="6" fillId="6" borderId="9" xfId="1" applyNumberFormat="1" applyFont="1" applyFill="1" applyBorder="1" applyAlignment="1">
      <alignment horizontal="center" vertical="center"/>
      <protection locked="0"/>
    </xf>
    <xf numFmtId="175" fontId="6" fillId="5" borderId="9" xfId="1" applyNumberFormat="1" applyFont="1" applyFill="1" applyBorder="1" applyAlignment="1" applyProtection="1">
      <alignment horizontal="center" vertical="center"/>
    </xf>
    <xf numFmtId="175" fontId="6" fillId="5" borderId="10" xfId="1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1" fillId="5" borderId="76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9" fontId="2" fillId="6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>
      <alignment horizontal="center" vertical="center"/>
    </xf>
    <xf numFmtId="170" fontId="2" fillId="5" borderId="5" xfId="0" applyNumberFormat="1" applyFont="1" applyFill="1" applyBorder="1" applyAlignment="1">
      <alignment vertical="center"/>
    </xf>
    <xf numFmtId="167" fontId="2" fillId="5" borderId="6" xfId="1" applyNumberFormat="1" applyFont="1" applyFill="1" applyBorder="1" applyAlignment="1" applyProtection="1">
      <alignment horizontal="center" vertical="center"/>
    </xf>
    <xf numFmtId="167" fontId="2" fillId="5" borderId="7" xfId="1" applyNumberFormat="1" applyFont="1" applyFill="1" applyBorder="1" applyAlignment="1" applyProtection="1">
      <alignment horizontal="center" vertical="center"/>
    </xf>
    <xf numFmtId="170" fontId="2" fillId="5" borderId="8" xfId="0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  <protection locked="0"/>
    </xf>
    <xf numFmtId="167" fontId="2" fillId="5" borderId="9" xfId="1" applyNumberFormat="1" applyFont="1" applyFill="1" applyBorder="1" applyAlignment="1" applyProtection="1">
      <alignment horizontal="center" vertical="center"/>
    </xf>
    <xf numFmtId="167" fontId="2" fillId="5" borderId="10" xfId="1" applyNumberFormat="1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 applyProtection="1">
      <alignment horizontal="center" vertical="center"/>
    </xf>
  </cellXfs>
  <cellStyles count="211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Collegamento visitato" xfId="182" builtinId="9" hidden="1"/>
    <cellStyle name="Collegamento visitato" xfId="184" builtinId="9" hidden="1"/>
    <cellStyle name="Collegamento visitato" xfId="186" builtinId="9" hidden="1"/>
    <cellStyle name="Collegamento visitato" xfId="188" builtinId="9" hidden="1"/>
    <cellStyle name="Collegamento visitato" xfId="190" builtinId="9" hidden="1"/>
    <cellStyle name="Collegamento visitato" xfId="192" builtinId="9" hidden="1"/>
    <cellStyle name="Collegamento visitato" xfId="194" builtinId="9" hidden="1"/>
    <cellStyle name="Collegamento visitato" xfId="196" builtinId="9" hidden="1"/>
    <cellStyle name="Collegamento visitato" xfId="198" builtinId="9" hidden="1"/>
    <cellStyle name="Collegamento visitato" xfId="200" builtinId="9" hidden="1"/>
    <cellStyle name="Collegamento visitato" xfId="202" builtinId="9" hidden="1"/>
    <cellStyle name="Collegamento visitato" xfId="204" builtinId="9" hidden="1"/>
    <cellStyle name="Collegamento visitato" xfId="206" builtinId="9" hidden="1"/>
    <cellStyle name="Collegamento visitato" xfId="208" builtinId="9" hidden="1"/>
    <cellStyle name="Collegamento visitato" xfId="210" builtinId="9" hidden="1"/>
    <cellStyle name="Normale" xfId="0" builtinId="0"/>
    <cellStyle name="Percentuale" xfId="36" builtinId="5"/>
    <cellStyle name="Virgo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5401" y="38100"/>
    <xdr:ext cx="3324855" cy="781050"/>
    <xdr:pic>
      <xdr:nvPicPr>
        <xdr:cNvPr id="3" name="Immagine 2" descr="GART-MP march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1" y="38100"/>
          <a:ext cx="3324855" cy="7810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IV348"/>
  <sheetViews>
    <sheetView tabSelected="1" zoomScale="200" workbookViewId="0">
      <selection activeCell="C10" sqref="C10"/>
    </sheetView>
  </sheetViews>
  <sheetFormatPr baseColWidth="10" defaultColWidth="0" defaultRowHeight="14" x14ac:dyDescent="0"/>
  <cols>
    <col min="1" max="15" width="8.83203125" style="1" customWidth="1"/>
    <col min="16" max="256" width="8.83203125" style="334" customWidth="1"/>
    <col min="257" max="16384" width="9" style="335" hidden="1"/>
  </cols>
  <sheetData>
    <row r="1" spans="1:15" ht="73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5" thickBot="1">
      <c r="A2" s="217" t="s">
        <v>297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1:15" ht="15" customHeight="1" thickTop="1">
      <c r="A3" s="285" t="s">
        <v>259</v>
      </c>
      <c r="B3" s="286"/>
      <c r="C3" s="286"/>
      <c r="D3" s="28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ht="15" customHeight="1">
      <c r="A4" s="371" t="s">
        <v>246</v>
      </c>
      <c r="B4" s="236"/>
      <c r="C4" s="236"/>
      <c r="D4" s="372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ht="15" customHeight="1" thickBot="1">
      <c r="A5" s="288" t="s">
        <v>342</v>
      </c>
      <c r="B5" s="284"/>
      <c r="C5" s="284"/>
      <c r="D5" s="289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ht="15" customHeight="1" thickTop="1" thickBot="1">
      <c r="A6" s="222"/>
      <c r="B6" s="220"/>
      <c r="C6" s="250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</row>
    <row r="7" spans="1:15" ht="15" customHeight="1" thickTop="1">
      <c r="A7" s="214" t="s">
        <v>0</v>
      </c>
      <c r="B7" s="314"/>
      <c r="C7" s="215"/>
      <c r="D7" s="216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</row>
    <row r="8" spans="1:15" ht="15" customHeight="1">
      <c r="A8" s="101" t="s">
        <v>17</v>
      </c>
      <c r="B8" s="165" t="s">
        <v>17</v>
      </c>
      <c r="C8" s="165" t="s">
        <v>65</v>
      </c>
      <c r="D8" s="100" t="s">
        <v>66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</row>
    <row r="9" spans="1:15" ht="15" customHeight="1" thickBot="1">
      <c r="A9" s="113" t="s">
        <v>18</v>
      </c>
      <c r="B9" s="114" t="s">
        <v>33</v>
      </c>
      <c r="C9" s="114" t="s">
        <v>1</v>
      </c>
      <c r="D9" s="117" t="s">
        <v>2</v>
      </c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5" ht="15" customHeight="1" thickTop="1" thickBot="1">
      <c r="A10" s="67">
        <f>B10/0.746</f>
        <v>53.619302949061662</v>
      </c>
      <c r="B10" s="13">
        <f>C10*D10/9550</f>
        <v>40</v>
      </c>
      <c r="C10" s="4">
        <v>2000</v>
      </c>
      <c r="D10" s="17">
        <v>191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15" ht="15" customHeight="1" thickTop="1" thickBot="1">
      <c r="A11" s="67">
        <f>B11/0.746</f>
        <v>53.619302949061662</v>
      </c>
      <c r="B11" s="8">
        <v>40</v>
      </c>
      <c r="C11" s="11">
        <f>B11*9550/D11</f>
        <v>2000</v>
      </c>
      <c r="D11" s="17">
        <v>191</v>
      </c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</row>
    <row r="12" spans="1:15" ht="15" customHeight="1" thickTop="1" thickBot="1">
      <c r="A12" s="67">
        <f>B12/0.746</f>
        <v>53.619302949061662</v>
      </c>
      <c r="B12" s="8">
        <v>40</v>
      </c>
      <c r="C12" s="4">
        <v>2000</v>
      </c>
      <c r="D12" s="63">
        <f>B12*9550/C12</f>
        <v>191</v>
      </c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15" ht="15" customHeight="1" thickTop="1" thickBot="1">
      <c r="A13" s="293"/>
      <c r="B13" s="220"/>
      <c r="C13" s="219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</row>
    <row r="14" spans="1:15" ht="15" customHeight="1" thickTop="1">
      <c r="A14" s="146" t="s">
        <v>3</v>
      </c>
      <c r="B14" s="123"/>
      <c r="C14" s="123"/>
      <c r="D14" s="141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</row>
    <row r="15" spans="1:15" ht="15" customHeight="1" thickBot="1">
      <c r="A15" s="113" t="s">
        <v>33</v>
      </c>
      <c r="B15" s="114" t="s">
        <v>4</v>
      </c>
      <c r="C15" s="114" t="s">
        <v>5</v>
      </c>
      <c r="D15" s="117" t="s">
        <v>6</v>
      </c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</row>
    <row r="16" spans="1:15" ht="15" customHeight="1" thickTop="1" thickBot="1">
      <c r="A16" s="67">
        <f>(3^0.5)*B16*C16*D16/1000</f>
        <v>100.1125366774811</v>
      </c>
      <c r="B16" s="8">
        <v>170</v>
      </c>
      <c r="C16" s="4">
        <v>400</v>
      </c>
      <c r="D16" s="17">
        <v>0.85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</row>
    <row r="17" spans="1:15" ht="15" customHeight="1" thickTop="1" thickBot="1">
      <c r="A17" s="68">
        <v>100</v>
      </c>
      <c r="B17" s="13">
        <f>1000*A17/(C17*D17*(3^0.5))</f>
        <v>169.80890270283112</v>
      </c>
      <c r="C17" s="4">
        <v>400</v>
      </c>
      <c r="D17" s="17">
        <v>0.85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</row>
    <row r="18" spans="1:15" ht="15" customHeight="1" thickTop="1" thickBot="1">
      <c r="A18" s="68">
        <v>100</v>
      </c>
      <c r="B18" s="8">
        <v>170</v>
      </c>
      <c r="C18" s="11">
        <f>A18*1000/(B18*D18*3^0.5)</f>
        <v>399.55035930077912</v>
      </c>
      <c r="D18" s="17">
        <v>0.85</v>
      </c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</row>
    <row r="19" spans="1:15" ht="15" customHeight="1" thickTop="1" thickBot="1">
      <c r="A19" s="68">
        <v>100</v>
      </c>
      <c r="B19" s="8">
        <v>170</v>
      </c>
      <c r="C19" s="4">
        <v>400</v>
      </c>
      <c r="D19" s="55">
        <f>A19*1000/(3^0.5*B19*C19)</f>
        <v>0.84904451351415555</v>
      </c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</row>
    <row r="20" spans="1:15" ht="15" customHeight="1" thickTop="1" thickBot="1">
      <c r="A20" s="293"/>
      <c r="B20" s="222"/>
      <c r="C20" s="220"/>
      <c r="D20" s="223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</row>
    <row r="21" spans="1:15" ht="15" customHeight="1" thickTop="1">
      <c r="A21" s="146" t="s">
        <v>7</v>
      </c>
      <c r="B21" s="123"/>
      <c r="C21" s="123"/>
      <c r="D21" s="141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5" ht="15" customHeight="1" thickBot="1">
      <c r="A22" s="113" t="s">
        <v>33</v>
      </c>
      <c r="B22" s="114" t="s">
        <v>4</v>
      </c>
      <c r="C22" s="114" t="s">
        <v>5</v>
      </c>
      <c r="D22" s="117" t="s">
        <v>6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</row>
    <row r="23" spans="1:15" ht="15" customHeight="1" thickTop="1" thickBot="1">
      <c r="A23" s="67">
        <f>B23*C23*D23/1000</f>
        <v>3.06</v>
      </c>
      <c r="B23" s="8">
        <v>15</v>
      </c>
      <c r="C23" s="4">
        <v>240</v>
      </c>
      <c r="D23" s="17">
        <v>0.85</v>
      </c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</row>
    <row r="24" spans="1:15" ht="15" customHeight="1" thickTop="1" thickBot="1">
      <c r="A24" s="68">
        <v>3.1</v>
      </c>
      <c r="B24" s="13">
        <f>1000*A24/(C24*D24)</f>
        <v>15.196078431372548</v>
      </c>
      <c r="C24" s="4">
        <v>240</v>
      </c>
      <c r="D24" s="17">
        <v>0.85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</row>
    <row r="25" spans="1:15" ht="15" customHeight="1" thickTop="1" thickBot="1">
      <c r="A25" s="68">
        <v>3.1</v>
      </c>
      <c r="B25" s="8">
        <v>15</v>
      </c>
      <c r="C25" s="18">
        <f>A25*1000/(B25*D26)</f>
        <v>239.99999999999997</v>
      </c>
      <c r="D25" s="17">
        <v>0.85</v>
      </c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</row>
    <row r="26" spans="1:15" ht="15" customHeight="1" thickTop="1" thickBot="1">
      <c r="A26" s="68">
        <v>3.1</v>
      </c>
      <c r="B26" s="8">
        <v>15</v>
      </c>
      <c r="C26" s="4">
        <v>240</v>
      </c>
      <c r="D26" s="55">
        <f>A26*1000/(B26*C26)</f>
        <v>0.86111111111111116</v>
      </c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  <row r="27" spans="1:15" ht="15" customHeight="1" thickTop="1" thickBot="1">
      <c r="A27" s="293"/>
      <c r="B27" s="222"/>
      <c r="C27" s="220"/>
      <c r="D27" s="223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</row>
    <row r="28" spans="1:15" ht="15" customHeight="1" thickTop="1">
      <c r="A28" s="146" t="s">
        <v>108</v>
      </c>
      <c r="B28" s="211"/>
      <c r="C28" s="211"/>
      <c r="D28" s="211"/>
      <c r="E28" s="111"/>
      <c r="F28" s="111"/>
      <c r="G28" s="111"/>
      <c r="H28" s="141"/>
      <c r="I28" s="217"/>
      <c r="J28" s="217"/>
      <c r="K28" s="217"/>
      <c r="L28" s="217"/>
      <c r="M28" s="217"/>
      <c r="N28" s="217"/>
      <c r="O28" s="217"/>
    </row>
    <row r="29" spans="1:15" ht="15" customHeight="1">
      <c r="A29" s="113" t="s">
        <v>109</v>
      </c>
      <c r="B29" s="114" t="s">
        <v>80</v>
      </c>
      <c r="C29" s="212" t="s">
        <v>68</v>
      </c>
      <c r="D29" s="116" t="s">
        <v>112</v>
      </c>
      <c r="E29" s="116" t="s">
        <v>114</v>
      </c>
      <c r="F29" s="116" t="s">
        <v>109</v>
      </c>
      <c r="G29" s="116" t="s">
        <v>117</v>
      </c>
      <c r="H29" s="121" t="s">
        <v>117</v>
      </c>
      <c r="I29" s="217"/>
      <c r="J29" s="217"/>
      <c r="K29" s="217"/>
      <c r="L29" s="217"/>
      <c r="M29" s="217"/>
      <c r="N29" s="217"/>
      <c r="O29" s="217"/>
    </row>
    <row r="30" spans="1:15" ht="15" customHeight="1">
      <c r="A30" s="192" t="s">
        <v>110</v>
      </c>
      <c r="B30" s="118"/>
      <c r="C30" s="118" t="s">
        <v>79</v>
      </c>
      <c r="D30" s="119" t="s">
        <v>109</v>
      </c>
      <c r="E30" s="119" t="s">
        <v>115</v>
      </c>
      <c r="F30" s="119" t="s">
        <v>116</v>
      </c>
      <c r="G30" s="119" t="s">
        <v>118</v>
      </c>
      <c r="H30" s="213" t="s">
        <v>116</v>
      </c>
      <c r="I30" s="217"/>
      <c r="J30" s="217"/>
      <c r="K30" s="217"/>
      <c r="L30" s="217"/>
      <c r="M30" s="217"/>
      <c r="N30" s="217"/>
      <c r="O30" s="217"/>
    </row>
    <row r="31" spans="1:15" ht="15" customHeight="1" thickBot="1">
      <c r="A31" s="113" t="s">
        <v>111</v>
      </c>
      <c r="B31" s="114" t="s">
        <v>43</v>
      </c>
      <c r="C31" s="114" t="s">
        <v>42</v>
      </c>
      <c r="D31" s="116" t="s">
        <v>113</v>
      </c>
      <c r="E31" s="116" t="s">
        <v>120</v>
      </c>
      <c r="F31" s="114" t="s">
        <v>111</v>
      </c>
      <c r="G31" s="114" t="s">
        <v>119</v>
      </c>
      <c r="H31" s="117" t="s">
        <v>119</v>
      </c>
      <c r="I31" s="217"/>
      <c r="J31" s="217"/>
      <c r="K31" s="217"/>
      <c r="L31" s="217"/>
      <c r="M31" s="217"/>
      <c r="N31" s="217"/>
      <c r="O31" s="217"/>
    </row>
    <row r="32" spans="1:15" ht="15" customHeight="1" thickTop="1" thickBot="1">
      <c r="A32" s="19">
        <v>50</v>
      </c>
      <c r="B32" s="4">
        <v>15</v>
      </c>
      <c r="C32" s="4">
        <v>400</v>
      </c>
      <c r="D32" s="97">
        <f>+A32/((C32/1000)*(3600/B32))</f>
        <v>0.52083333333333337</v>
      </c>
      <c r="E32" s="89">
        <v>6000</v>
      </c>
      <c r="F32" s="90">
        <f>+A32*E32</f>
        <v>300000</v>
      </c>
      <c r="G32" s="89">
        <v>0.16</v>
      </c>
      <c r="H32" s="98">
        <f>+A32*E32*G32</f>
        <v>48000</v>
      </c>
      <c r="I32" s="217"/>
      <c r="J32" s="217"/>
      <c r="K32" s="217"/>
      <c r="L32" s="217"/>
      <c r="M32" s="217"/>
      <c r="N32" s="217"/>
      <c r="O32" s="217"/>
    </row>
    <row r="33" spans="1:15" ht="15" customHeight="1" thickTop="1" thickBot="1">
      <c r="A33" s="3">
        <f>+(3600/B33)*(C33/1000)*D33</f>
        <v>28.8</v>
      </c>
      <c r="B33" s="4">
        <v>8</v>
      </c>
      <c r="C33" s="4">
        <f>2.5*64</f>
        <v>160</v>
      </c>
      <c r="D33" s="99">
        <v>0.4</v>
      </c>
      <c r="E33" s="89">
        <f>24*350</f>
        <v>8400</v>
      </c>
      <c r="F33" s="90">
        <f>+A33*E33</f>
        <v>241920</v>
      </c>
      <c r="G33" s="89">
        <v>0.16</v>
      </c>
      <c r="H33" s="290">
        <f>+A33*E33*G33</f>
        <v>38707.200000000004</v>
      </c>
      <c r="I33" s="217"/>
      <c r="J33" s="217"/>
      <c r="K33" s="217"/>
      <c r="L33" s="217"/>
      <c r="M33" s="217"/>
      <c r="N33" s="217"/>
      <c r="O33" s="217"/>
    </row>
    <row r="34" spans="1:15" ht="15" customHeight="1" thickTop="1" thickBot="1">
      <c r="A34" s="293"/>
      <c r="B34" s="222"/>
      <c r="C34" s="220"/>
      <c r="D34" s="224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</row>
    <row r="35" spans="1:15" ht="15" customHeight="1" thickTop="1">
      <c r="A35" s="146" t="s">
        <v>8</v>
      </c>
      <c r="B35" s="211"/>
      <c r="C35" s="211"/>
      <c r="D35" s="22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</row>
    <row r="36" spans="1:15" ht="15" customHeight="1">
      <c r="A36" s="101" t="s">
        <v>9</v>
      </c>
      <c r="B36" s="165" t="s">
        <v>10</v>
      </c>
      <c r="C36" s="210" t="s">
        <v>62</v>
      </c>
      <c r="D36" s="100" t="s">
        <v>11</v>
      </c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5" ht="15" customHeight="1" thickBot="1">
      <c r="A37" s="113" t="s">
        <v>40</v>
      </c>
      <c r="B37" s="114" t="s">
        <v>40</v>
      </c>
      <c r="C37" s="114" t="s">
        <v>40</v>
      </c>
      <c r="D37" s="117" t="s">
        <v>40</v>
      </c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</row>
    <row r="38" spans="1:15" ht="15" customHeight="1" thickTop="1" thickBot="1">
      <c r="A38" s="86">
        <v>800</v>
      </c>
      <c r="B38" s="87">
        <v>800</v>
      </c>
      <c r="C38" s="87">
        <v>130</v>
      </c>
      <c r="D38" s="96">
        <f>(((A38+C38)^2+(B38+C38)^2)^0.5)-C38</f>
        <v>1185.2186130069783</v>
      </c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</row>
    <row r="39" spans="1:15" ht="15" customHeight="1" thickTop="1" thickBot="1">
      <c r="A39" s="294"/>
      <c r="B39" s="226"/>
      <c r="C39" s="226"/>
      <c r="D39" s="225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</row>
    <row r="40" spans="1:15" ht="15" customHeight="1" thickTop="1">
      <c r="A40" s="146" t="s">
        <v>162</v>
      </c>
      <c r="B40" s="111"/>
      <c r="C40" s="111"/>
      <c r="D40" s="111"/>
      <c r="E40" s="111"/>
      <c r="F40" s="141"/>
      <c r="G40" s="199" t="s">
        <v>260</v>
      </c>
      <c r="H40" s="200" t="s">
        <v>261</v>
      </c>
      <c r="I40" s="217"/>
      <c r="J40" s="217"/>
      <c r="K40" s="217"/>
      <c r="L40" s="217"/>
      <c r="M40" s="217"/>
      <c r="N40" s="217"/>
      <c r="O40" s="217"/>
    </row>
    <row r="41" spans="1:15" ht="15" customHeight="1">
      <c r="A41" s="201" t="s">
        <v>59</v>
      </c>
      <c r="B41" s="202" t="s">
        <v>60</v>
      </c>
      <c r="C41" s="203" t="s">
        <v>62</v>
      </c>
      <c r="D41" s="203" t="s">
        <v>63</v>
      </c>
      <c r="E41" s="165" t="s">
        <v>75</v>
      </c>
      <c r="F41" s="204" t="s">
        <v>75</v>
      </c>
      <c r="G41" s="205" t="s">
        <v>166</v>
      </c>
      <c r="H41" s="206" t="s">
        <v>247</v>
      </c>
      <c r="I41" s="217"/>
      <c r="J41" s="217"/>
      <c r="K41" s="217"/>
      <c r="L41" s="217"/>
      <c r="M41" s="217"/>
      <c r="N41" s="217"/>
      <c r="O41" s="217"/>
    </row>
    <row r="42" spans="1:15" ht="15" customHeight="1" thickBot="1">
      <c r="A42" s="113" t="s">
        <v>40</v>
      </c>
      <c r="B42" s="116" t="s">
        <v>40</v>
      </c>
      <c r="C42" s="116" t="s">
        <v>40</v>
      </c>
      <c r="D42" s="116" t="s">
        <v>64</v>
      </c>
      <c r="E42" s="116" t="s">
        <v>107</v>
      </c>
      <c r="F42" s="207" t="s">
        <v>61</v>
      </c>
      <c r="G42" s="208" t="s">
        <v>61</v>
      </c>
      <c r="H42" s="209" t="s">
        <v>61</v>
      </c>
      <c r="I42" s="217"/>
      <c r="J42" s="217"/>
      <c r="K42" s="217"/>
      <c r="L42" s="217"/>
      <c r="M42" s="217"/>
      <c r="N42" s="217"/>
      <c r="O42" s="217"/>
    </row>
    <row r="43" spans="1:15" ht="15" customHeight="1" thickTop="1" thickBot="1">
      <c r="A43" s="88">
        <f>+F43*9710*B43/(D43*4*3.1416*(C43/2)^2)</f>
        <v>0.82466840903027883</v>
      </c>
      <c r="B43" s="89">
        <v>2200</v>
      </c>
      <c r="C43" s="89">
        <v>80</v>
      </c>
      <c r="D43" s="90">
        <v>210000</v>
      </c>
      <c r="E43" s="295">
        <f>+F43*9.81</f>
        <v>1599.03</v>
      </c>
      <c r="F43" s="93">
        <v>163</v>
      </c>
      <c r="G43" s="95">
        <f>+(4*3.1416*(C43/2)^2)*850/9810</f>
        <v>1742.1308868501528</v>
      </c>
      <c r="H43" s="91">
        <f>+(4*3.1416*(C43/2)^2)*1100/9810</f>
        <v>2254.5223241590211</v>
      </c>
      <c r="I43" s="217"/>
      <c r="J43" s="217"/>
      <c r="K43" s="217"/>
      <c r="L43" s="217"/>
      <c r="M43" s="217"/>
      <c r="N43" s="217"/>
      <c r="O43" s="217"/>
    </row>
    <row r="44" spans="1:15" ht="15" customHeight="1" thickTop="1" thickBot="1">
      <c r="A44" s="92">
        <v>0.83</v>
      </c>
      <c r="B44" s="81">
        <v>2200</v>
      </c>
      <c r="C44" s="81">
        <v>80</v>
      </c>
      <c r="D44" s="80">
        <v>210000</v>
      </c>
      <c r="E44" s="58">
        <f>+D44*(A44/B44)*(4*3.1416*(C44/2)^2/1000)</f>
        <v>1592.9625599999997</v>
      </c>
      <c r="F44" s="94">
        <f>+E44/9.81</f>
        <v>162.38150458715592</v>
      </c>
      <c r="G44" s="95">
        <f>+(4*3.1416*(C44/2)^2)*850/9810</f>
        <v>1742.1308868501528</v>
      </c>
      <c r="H44" s="91">
        <f>+(4*3.1416*(C44/2)^2)*1100/9810</f>
        <v>2254.5223241590211</v>
      </c>
      <c r="I44" s="217"/>
      <c r="J44" s="217"/>
      <c r="K44" s="217"/>
      <c r="L44" s="217"/>
      <c r="M44" s="217"/>
      <c r="N44" s="217"/>
      <c r="O44" s="217"/>
    </row>
    <row r="45" spans="1:15" ht="15" customHeight="1" thickTop="1" thickBot="1">
      <c r="A45" s="230"/>
      <c r="B45" s="231"/>
      <c r="C45" s="231"/>
      <c r="D45" s="232"/>
      <c r="E45" s="233"/>
      <c r="F45" s="234"/>
      <c r="G45" s="235"/>
      <c r="H45" s="229"/>
      <c r="I45" s="217"/>
      <c r="J45" s="217"/>
      <c r="K45" s="217"/>
      <c r="L45" s="217"/>
      <c r="M45" s="217"/>
      <c r="N45" s="217"/>
      <c r="O45" s="217"/>
    </row>
    <row r="46" spans="1:15" ht="15" customHeight="1" thickTop="1">
      <c r="A46" s="412" t="s">
        <v>343</v>
      </c>
      <c r="B46" s="413"/>
      <c r="C46" s="413"/>
      <c r="D46" s="414"/>
      <c r="E46" s="191" t="s">
        <v>45</v>
      </c>
      <c r="F46" s="236"/>
      <c r="G46" s="236"/>
      <c r="H46" s="217"/>
      <c r="I46" s="217"/>
      <c r="J46" s="217"/>
      <c r="K46" s="217"/>
      <c r="L46" s="217"/>
      <c r="M46" s="217"/>
      <c r="N46" s="217"/>
      <c r="O46" s="217"/>
    </row>
    <row r="47" spans="1:15" ht="15" customHeight="1">
      <c r="A47" s="101" t="s">
        <v>69</v>
      </c>
      <c r="B47" s="165" t="s">
        <v>70</v>
      </c>
      <c r="C47" s="165" t="s">
        <v>11</v>
      </c>
      <c r="D47" s="165" t="s">
        <v>12</v>
      </c>
      <c r="E47" s="120" t="s">
        <v>68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</row>
    <row r="48" spans="1:15" ht="15" customHeight="1">
      <c r="A48" s="113" t="s">
        <v>40</v>
      </c>
      <c r="B48" s="114" t="s">
        <v>40</v>
      </c>
      <c r="C48" s="114" t="s">
        <v>40</v>
      </c>
      <c r="D48" s="114" t="s">
        <v>40</v>
      </c>
      <c r="E48" s="117" t="s">
        <v>67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</row>
    <row r="49" spans="1:256" ht="15" customHeight="1">
      <c r="A49" s="375">
        <v>800</v>
      </c>
      <c r="B49" s="376">
        <v>800</v>
      </c>
      <c r="C49" s="377">
        <f>(A49^2+B49^2)^0.5</f>
        <v>1131.3708498984761</v>
      </c>
      <c r="D49" s="376">
        <v>300</v>
      </c>
      <c r="E49" s="378">
        <f>A49*B49*D49*7.86/1000000</f>
        <v>1509.12</v>
      </c>
      <c r="F49" s="217"/>
      <c r="G49" s="217"/>
      <c r="H49" s="217"/>
      <c r="I49" s="217"/>
      <c r="J49" s="217"/>
      <c r="K49" s="217"/>
      <c r="L49" s="217"/>
      <c r="M49" s="217"/>
      <c r="N49" s="217"/>
      <c r="O49" s="217"/>
    </row>
    <row r="50" spans="1:256" ht="15" customHeight="1">
      <c r="A50" s="192" t="s">
        <v>274</v>
      </c>
      <c r="B50" s="145" t="s">
        <v>73</v>
      </c>
      <c r="C50" s="118" t="s">
        <v>74</v>
      </c>
      <c r="D50" s="373" t="s">
        <v>77</v>
      </c>
      <c r="E50" s="374" t="s">
        <v>76</v>
      </c>
      <c r="F50" s="217"/>
      <c r="G50" s="217"/>
      <c r="H50" s="217"/>
      <c r="I50" s="217"/>
      <c r="J50" s="217"/>
      <c r="K50" s="217"/>
      <c r="L50" s="217"/>
      <c r="M50" s="217"/>
      <c r="N50" s="217"/>
      <c r="O50" s="217"/>
    </row>
    <row r="51" spans="1:256" ht="15" customHeight="1">
      <c r="A51" s="113" t="s">
        <v>51</v>
      </c>
      <c r="B51" s="114" t="s">
        <v>72</v>
      </c>
      <c r="C51" s="114" t="s">
        <v>72</v>
      </c>
      <c r="D51" s="291" t="s">
        <v>52</v>
      </c>
      <c r="E51" s="292"/>
      <c r="F51" s="217"/>
      <c r="G51" s="217"/>
      <c r="H51" s="217"/>
      <c r="I51" s="217"/>
      <c r="J51" s="217"/>
      <c r="K51" s="217"/>
      <c r="L51" s="217"/>
      <c r="M51" s="217"/>
      <c r="N51" s="217"/>
      <c r="O51" s="217"/>
    </row>
    <row r="52" spans="1:256" ht="15" customHeight="1" thickBot="1">
      <c r="A52" s="379">
        <v>9</v>
      </c>
      <c r="B52" s="380">
        <v>15</v>
      </c>
      <c r="C52" s="380">
        <v>70</v>
      </c>
      <c r="D52" s="381">
        <f>(C52-B52)*60/(+A52*3600000/E49/500)</f>
        <v>76.853333333333325</v>
      </c>
      <c r="E52" s="382"/>
      <c r="F52" s="217"/>
      <c r="G52" s="217"/>
      <c r="H52" s="217"/>
      <c r="I52" s="217"/>
      <c r="J52" s="217"/>
      <c r="K52" s="217"/>
      <c r="L52" s="217"/>
      <c r="M52" s="217"/>
      <c r="N52" s="217"/>
      <c r="O52" s="217"/>
    </row>
    <row r="53" spans="1:256" s="337" customFormat="1" ht="15" customHeight="1" thickTop="1" thickBot="1">
      <c r="A53" s="220"/>
      <c r="B53" s="220"/>
      <c r="C53" s="220"/>
      <c r="D53" s="219"/>
      <c r="E53" s="237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6"/>
      <c r="AH53" s="336"/>
      <c r="AI53" s="336"/>
      <c r="AJ53" s="336"/>
      <c r="AK53" s="336"/>
      <c r="AL53" s="336"/>
      <c r="AM53" s="336"/>
      <c r="AN53" s="336"/>
      <c r="AO53" s="336"/>
      <c r="AP53" s="336"/>
      <c r="AQ53" s="336"/>
      <c r="AR53" s="336"/>
      <c r="AS53" s="336"/>
      <c r="AT53" s="336"/>
      <c r="AU53" s="336"/>
      <c r="AV53" s="336"/>
      <c r="AW53" s="336"/>
      <c r="AX53" s="336"/>
      <c r="AY53" s="336"/>
      <c r="AZ53" s="336"/>
      <c r="BA53" s="336"/>
      <c r="BB53" s="336"/>
      <c r="BC53" s="336"/>
      <c r="BD53" s="336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6"/>
      <c r="BS53" s="336"/>
      <c r="BT53" s="336"/>
      <c r="BU53" s="336"/>
      <c r="BV53" s="336"/>
      <c r="BW53" s="336"/>
      <c r="BX53" s="336"/>
      <c r="BY53" s="336"/>
      <c r="BZ53" s="336"/>
      <c r="CA53" s="336"/>
      <c r="CB53" s="336"/>
      <c r="CC53" s="336"/>
      <c r="CD53" s="336"/>
      <c r="CE53" s="336"/>
      <c r="CF53" s="336"/>
      <c r="CG53" s="336"/>
      <c r="CH53" s="336"/>
      <c r="CI53" s="336"/>
      <c r="CJ53" s="336"/>
      <c r="CK53" s="336"/>
      <c r="CL53" s="336"/>
      <c r="CM53" s="336"/>
      <c r="CN53" s="336"/>
      <c r="CO53" s="336"/>
      <c r="CP53" s="336"/>
      <c r="CQ53" s="336"/>
      <c r="CR53" s="336"/>
      <c r="CS53" s="336"/>
      <c r="CT53" s="336"/>
      <c r="CU53" s="336"/>
      <c r="CV53" s="336"/>
      <c r="CW53" s="336"/>
      <c r="CX53" s="336"/>
      <c r="CY53" s="336"/>
      <c r="CZ53" s="336"/>
      <c r="DA53" s="336"/>
      <c r="DB53" s="336"/>
      <c r="DC53" s="336"/>
      <c r="DD53" s="336"/>
      <c r="DE53" s="336"/>
      <c r="DF53" s="336"/>
      <c r="DG53" s="336"/>
      <c r="DH53" s="336"/>
      <c r="DI53" s="336"/>
      <c r="DJ53" s="336"/>
      <c r="DK53" s="336"/>
      <c r="DL53" s="336"/>
      <c r="DM53" s="336"/>
      <c r="DN53" s="336"/>
      <c r="DO53" s="336"/>
      <c r="DP53" s="336"/>
      <c r="DQ53" s="336"/>
      <c r="DR53" s="336"/>
      <c r="DS53" s="336"/>
      <c r="DT53" s="336"/>
      <c r="DU53" s="336"/>
      <c r="DV53" s="336"/>
      <c r="DW53" s="336"/>
      <c r="DX53" s="336"/>
      <c r="DY53" s="336"/>
      <c r="DZ53" s="336"/>
      <c r="EA53" s="336"/>
      <c r="EB53" s="336"/>
      <c r="EC53" s="336"/>
      <c r="ED53" s="336"/>
      <c r="EE53" s="336"/>
      <c r="EF53" s="336"/>
      <c r="EG53" s="336"/>
      <c r="EH53" s="336"/>
      <c r="EI53" s="336"/>
      <c r="EJ53" s="336"/>
      <c r="EK53" s="336"/>
      <c r="EL53" s="336"/>
      <c r="EM53" s="336"/>
      <c r="EN53" s="336"/>
      <c r="EO53" s="336"/>
      <c r="EP53" s="336"/>
      <c r="EQ53" s="336"/>
      <c r="ER53" s="336"/>
      <c r="ES53" s="336"/>
      <c r="ET53" s="336"/>
      <c r="EU53" s="336"/>
      <c r="EV53" s="336"/>
      <c r="EW53" s="336"/>
      <c r="EX53" s="336"/>
      <c r="EY53" s="336"/>
      <c r="EZ53" s="336"/>
      <c r="FA53" s="336"/>
      <c r="FB53" s="336"/>
      <c r="FC53" s="336"/>
      <c r="FD53" s="336"/>
      <c r="FE53" s="336"/>
      <c r="FF53" s="336"/>
      <c r="FG53" s="336"/>
      <c r="FH53" s="336"/>
      <c r="FI53" s="336"/>
      <c r="FJ53" s="336"/>
      <c r="FK53" s="336"/>
      <c r="FL53" s="336"/>
      <c r="FM53" s="336"/>
      <c r="FN53" s="336"/>
      <c r="FO53" s="336"/>
      <c r="FP53" s="336"/>
      <c r="FQ53" s="336"/>
      <c r="FR53" s="336"/>
      <c r="FS53" s="336"/>
      <c r="FT53" s="336"/>
      <c r="FU53" s="336"/>
      <c r="FV53" s="336"/>
      <c r="FW53" s="336"/>
      <c r="FX53" s="336"/>
      <c r="FY53" s="336"/>
      <c r="FZ53" s="336"/>
      <c r="GA53" s="336"/>
      <c r="GB53" s="336"/>
      <c r="GC53" s="336"/>
      <c r="GD53" s="336"/>
      <c r="GE53" s="336"/>
      <c r="GF53" s="336"/>
      <c r="GG53" s="336"/>
      <c r="GH53" s="336"/>
      <c r="GI53" s="336"/>
      <c r="GJ53" s="336"/>
      <c r="GK53" s="336"/>
      <c r="GL53" s="336"/>
      <c r="GM53" s="336"/>
      <c r="GN53" s="336"/>
      <c r="GO53" s="336"/>
      <c r="GP53" s="336"/>
      <c r="GQ53" s="336"/>
      <c r="GR53" s="336"/>
      <c r="GS53" s="336"/>
      <c r="GT53" s="336"/>
      <c r="GU53" s="336"/>
      <c r="GV53" s="336"/>
      <c r="GW53" s="336"/>
      <c r="GX53" s="336"/>
      <c r="GY53" s="336"/>
      <c r="GZ53" s="336"/>
      <c r="HA53" s="336"/>
      <c r="HB53" s="336"/>
      <c r="HC53" s="336"/>
      <c r="HD53" s="336"/>
      <c r="HE53" s="336"/>
      <c r="HF53" s="336"/>
      <c r="HG53" s="336"/>
      <c r="HH53" s="336"/>
      <c r="HI53" s="336"/>
      <c r="HJ53" s="336"/>
      <c r="HK53" s="336"/>
      <c r="HL53" s="336"/>
      <c r="HM53" s="336"/>
      <c r="HN53" s="336"/>
      <c r="HO53" s="336"/>
      <c r="HP53" s="336"/>
      <c r="HQ53" s="336"/>
      <c r="HR53" s="336"/>
      <c r="HS53" s="336"/>
      <c r="HT53" s="336"/>
      <c r="HU53" s="336"/>
      <c r="HV53" s="336"/>
      <c r="HW53" s="336"/>
      <c r="HX53" s="336"/>
      <c r="HY53" s="336"/>
      <c r="HZ53" s="336"/>
      <c r="IA53" s="336"/>
      <c r="IB53" s="336"/>
      <c r="IC53" s="336"/>
      <c r="ID53" s="336"/>
      <c r="IE53" s="336"/>
      <c r="IF53" s="336"/>
      <c r="IG53" s="336"/>
      <c r="IH53" s="336"/>
      <c r="II53" s="336"/>
      <c r="IJ53" s="336"/>
      <c r="IK53" s="336"/>
      <c r="IL53" s="336"/>
      <c r="IM53" s="336"/>
      <c r="IN53" s="336"/>
      <c r="IO53" s="336"/>
      <c r="IP53" s="336"/>
      <c r="IQ53" s="336"/>
      <c r="IR53" s="336"/>
      <c r="IS53" s="336"/>
      <c r="IT53" s="336"/>
      <c r="IU53" s="336"/>
      <c r="IV53" s="336"/>
    </row>
    <row r="54" spans="1:256" ht="15" customHeight="1" thickTop="1">
      <c r="A54" s="193" t="s">
        <v>238</v>
      </c>
      <c r="B54" s="123"/>
      <c r="C54" s="123"/>
      <c r="D54" s="111"/>
      <c r="E54" s="111"/>
      <c r="F54" s="194"/>
      <c r="G54" s="195" t="s">
        <v>258</v>
      </c>
      <c r="H54" s="217"/>
      <c r="I54" s="217"/>
      <c r="J54" s="217"/>
      <c r="K54" s="217"/>
      <c r="L54" s="217"/>
      <c r="M54" s="217"/>
      <c r="N54" s="217"/>
      <c r="O54" s="217"/>
    </row>
    <row r="55" spans="1:256" ht="15" customHeight="1">
      <c r="A55" s="182" t="s">
        <v>79</v>
      </c>
      <c r="B55" s="184" t="s">
        <v>53</v>
      </c>
      <c r="C55" s="114" t="s">
        <v>137</v>
      </c>
      <c r="D55" s="184" t="s">
        <v>16</v>
      </c>
      <c r="E55" s="114" t="s">
        <v>240</v>
      </c>
      <c r="F55" s="114" t="s">
        <v>105</v>
      </c>
      <c r="G55" s="196" t="s">
        <v>243</v>
      </c>
      <c r="H55" s="217"/>
      <c r="I55" s="217"/>
      <c r="J55" s="217"/>
      <c r="K55" s="217"/>
      <c r="L55" s="217"/>
      <c r="M55" s="217"/>
      <c r="N55" s="217"/>
      <c r="O55" s="217"/>
    </row>
    <row r="56" spans="1:256" ht="15" customHeight="1">
      <c r="A56" s="197" t="s">
        <v>239</v>
      </c>
      <c r="B56" s="198" t="s">
        <v>41</v>
      </c>
      <c r="C56" s="118" t="s">
        <v>242</v>
      </c>
      <c r="D56" s="198"/>
      <c r="E56" s="118" t="s">
        <v>241</v>
      </c>
      <c r="F56" s="118"/>
      <c r="G56" s="196" t="s">
        <v>244</v>
      </c>
      <c r="H56" s="217"/>
      <c r="I56" s="217"/>
      <c r="J56" s="217"/>
      <c r="K56" s="217"/>
      <c r="L56" s="217"/>
      <c r="M56" s="217"/>
      <c r="N56" s="217"/>
      <c r="O56" s="217"/>
    </row>
    <row r="57" spans="1:256" ht="15" customHeight="1" thickBot="1">
      <c r="A57" s="182" t="s">
        <v>42</v>
      </c>
      <c r="B57" s="184"/>
      <c r="C57" s="114" t="s">
        <v>39</v>
      </c>
      <c r="D57" s="114" t="s">
        <v>40</v>
      </c>
      <c r="E57" s="114" t="s">
        <v>28</v>
      </c>
      <c r="F57" s="184" t="s">
        <v>40</v>
      </c>
      <c r="G57" s="139" t="s">
        <v>245</v>
      </c>
      <c r="H57" s="217"/>
      <c r="I57" s="217"/>
      <c r="J57" s="217"/>
      <c r="K57" s="217"/>
      <c r="L57" s="217"/>
      <c r="M57" s="217"/>
      <c r="N57" s="217"/>
      <c r="O57" s="217"/>
    </row>
    <row r="58" spans="1:256" ht="15" customHeight="1" thickTop="1" thickBot="1">
      <c r="A58" s="10">
        <v>510</v>
      </c>
      <c r="B58" s="6">
        <v>1</v>
      </c>
      <c r="C58" s="50">
        <f>+A58/B58</f>
        <v>510</v>
      </c>
      <c r="D58" s="4">
        <v>50</v>
      </c>
      <c r="E58" s="4">
        <v>1700</v>
      </c>
      <c r="F58" s="11">
        <f>+C58/(+D58*D58)*(4/0.0031415)</f>
        <v>259.74852777335667</v>
      </c>
      <c r="G58" s="84">
        <f>+ROUND(C58*E58/1000,0)</f>
        <v>867</v>
      </c>
      <c r="H58" s="217"/>
      <c r="I58" s="217"/>
      <c r="J58" s="217"/>
      <c r="K58" s="217"/>
      <c r="L58" s="217"/>
      <c r="M58" s="217"/>
      <c r="N58" s="217"/>
      <c r="O58" s="217"/>
    </row>
    <row r="59" spans="1:256" ht="15" customHeight="1" thickTop="1" thickBot="1">
      <c r="A59" s="3">
        <f>+C59*B59</f>
        <v>510</v>
      </c>
      <c r="B59" s="6">
        <v>1</v>
      </c>
      <c r="C59" s="12">
        <v>510</v>
      </c>
      <c r="D59" s="4">
        <v>50</v>
      </c>
      <c r="E59" s="4">
        <v>1700</v>
      </c>
      <c r="F59" s="11">
        <f>+C59/(+D59*D59)*(4/0.0031415)</f>
        <v>259.74852777335667</v>
      </c>
      <c r="G59" s="84">
        <f>+ROUND(C59*E59/1000,0)</f>
        <v>867</v>
      </c>
      <c r="H59" s="217"/>
      <c r="I59" s="217"/>
      <c r="J59" s="217"/>
      <c r="K59" s="217"/>
      <c r="L59" s="217"/>
      <c r="M59" s="217"/>
      <c r="N59" s="217"/>
      <c r="O59" s="217"/>
    </row>
    <row r="60" spans="1:256" ht="15" customHeight="1" thickTop="1" thickBot="1">
      <c r="A60" s="3">
        <f>+C60*B60</f>
        <v>510.49375000000009</v>
      </c>
      <c r="B60" s="6">
        <v>1</v>
      </c>
      <c r="C60" s="50">
        <f>+(3.1415*(D60/20)^2)*F60/10</f>
        <v>510.49375000000009</v>
      </c>
      <c r="D60" s="4">
        <v>50</v>
      </c>
      <c r="E60" s="4">
        <v>1700</v>
      </c>
      <c r="F60" s="12">
        <v>260</v>
      </c>
      <c r="G60" s="84">
        <f>+ROUND(C60*E60/1000,0)</f>
        <v>868</v>
      </c>
      <c r="H60" s="217"/>
      <c r="I60" s="217"/>
      <c r="J60" s="217"/>
      <c r="K60" s="217"/>
      <c r="L60" s="217"/>
      <c r="M60" s="217"/>
      <c r="N60" s="217"/>
      <c r="O60" s="217"/>
    </row>
    <row r="61" spans="1:256" s="337" customFormat="1" ht="15" customHeight="1" thickTop="1" thickBot="1">
      <c r="A61" s="238"/>
      <c r="B61" s="239"/>
      <c r="C61" s="240"/>
      <c r="D61" s="220"/>
      <c r="E61" s="220"/>
      <c r="F61" s="220"/>
      <c r="G61" s="241"/>
      <c r="H61" s="236"/>
      <c r="I61" s="236"/>
      <c r="J61" s="236"/>
      <c r="K61" s="236"/>
      <c r="L61" s="236"/>
      <c r="M61" s="236"/>
      <c r="N61" s="236"/>
      <c r="O61" s="2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36"/>
      <c r="AL61" s="336"/>
      <c r="AM61" s="336"/>
      <c r="AN61" s="336"/>
      <c r="AO61" s="336"/>
      <c r="AP61" s="336"/>
      <c r="AQ61" s="336"/>
      <c r="AR61" s="336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  <c r="BC61" s="336"/>
      <c r="BD61" s="336"/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336"/>
      <c r="CA61" s="336"/>
      <c r="CB61" s="336"/>
      <c r="CC61" s="336"/>
      <c r="CD61" s="336"/>
      <c r="CE61" s="336"/>
      <c r="CF61" s="336"/>
      <c r="CG61" s="336"/>
      <c r="CH61" s="336"/>
      <c r="CI61" s="336"/>
      <c r="CJ61" s="336"/>
      <c r="CK61" s="336"/>
      <c r="CL61" s="336"/>
      <c r="CM61" s="336"/>
      <c r="CN61" s="336"/>
      <c r="CO61" s="336"/>
      <c r="CP61" s="336"/>
      <c r="CQ61" s="336"/>
      <c r="CR61" s="336"/>
      <c r="CS61" s="336"/>
      <c r="CT61" s="336"/>
      <c r="CU61" s="336"/>
      <c r="CV61" s="336"/>
      <c r="CW61" s="336"/>
      <c r="CX61" s="336"/>
      <c r="CY61" s="336"/>
      <c r="CZ61" s="336"/>
      <c r="DA61" s="336"/>
      <c r="DB61" s="336"/>
      <c r="DC61" s="336"/>
      <c r="DD61" s="336"/>
      <c r="DE61" s="336"/>
      <c r="DF61" s="336"/>
      <c r="DG61" s="336"/>
      <c r="DH61" s="336"/>
      <c r="DI61" s="336"/>
      <c r="DJ61" s="336"/>
      <c r="DK61" s="336"/>
      <c r="DL61" s="336"/>
      <c r="DM61" s="336"/>
      <c r="DN61" s="336"/>
      <c r="DO61" s="336"/>
      <c r="DP61" s="336"/>
      <c r="DQ61" s="336"/>
      <c r="DR61" s="336"/>
      <c r="DS61" s="336"/>
      <c r="DT61" s="336"/>
      <c r="DU61" s="336"/>
      <c r="DV61" s="336"/>
      <c r="DW61" s="336"/>
      <c r="DX61" s="336"/>
      <c r="DY61" s="336"/>
      <c r="DZ61" s="336"/>
      <c r="EA61" s="336"/>
      <c r="EB61" s="336"/>
      <c r="EC61" s="336"/>
      <c r="ED61" s="336"/>
      <c r="EE61" s="336"/>
      <c r="EF61" s="336"/>
      <c r="EG61" s="336"/>
      <c r="EH61" s="336"/>
      <c r="EI61" s="336"/>
      <c r="EJ61" s="336"/>
      <c r="EK61" s="336"/>
      <c r="EL61" s="336"/>
      <c r="EM61" s="336"/>
      <c r="EN61" s="336"/>
      <c r="EO61" s="336"/>
      <c r="EP61" s="336"/>
      <c r="EQ61" s="336"/>
      <c r="ER61" s="336"/>
      <c r="ES61" s="336"/>
      <c r="ET61" s="336"/>
      <c r="EU61" s="336"/>
      <c r="EV61" s="336"/>
      <c r="EW61" s="336"/>
      <c r="EX61" s="336"/>
      <c r="EY61" s="336"/>
      <c r="EZ61" s="336"/>
      <c r="FA61" s="336"/>
      <c r="FB61" s="336"/>
      <c r="FC61" s="336"/>
      <c r="FD61" s="336"/>
      <c r="FE61" s="336"/>
      <c r="FF61" s="336"/>
      <c r="FG61" s="336"/>
      <c r="FH61" s="336"/>
      <c r="FI61" s="336"/>
      <c r="FJ61" s="336"/>
      <c r="FK61" s="336"/>
      <c r="FL61" s="336"/>
      <c r="FM61" s="336"/>
      <c r="FN61" s="336"/>
      <c r="FO61" s="336"/>
      <c r="FP61" s="336"/>
      <c r="FQ61" s="336"/>
      <c r="FR61" s="336"/>
      <c r="FS61" s="336"/>
      <c r="FT61" s="336"/>
      <c r="FU61" s="336"/>
      <c r="FV61" s="336"/>
      <c r="FW61" s="336"/>
      <c r="FX61" s="336"/>
      <c r="FY61" s="336"/>
      <c r="FZ61" s="336"/>
      <c r="GA61" s="336"/>
      <c r="GB61" s="336"/>
      <c r="GC61" s="336"/>
      <c r="GD61" s="336"/>
      <c r="GE61" s="336"/>
      <c r="GF61" s="336"/>
      <c r="GG61" s="336"/>
      <c r="GH61" s="336"/>
      <c r="GI61" s="336"/>
      <c r="GJ61" s="336"/>
      <c r="GK61" s="336"/>
      <c r="GL61" s="336"/>
      <c r="GM61" s="336"/>
      <c r="GN61" s="336"/>
      <c r="GO61" s="336"/>
      <c r="GP61" s="336"/>
      <c r="GQ61" s="336"/>
      <c r="GR61" s="336"/>
      <c r="GS61" s="336"/>
      <c r="GT61" s="336"/>
      <c r="GU61" s="336"/>
      <c r="GV61" s="336"/>
      <c r="GW61" s="336"/>
      <c r="GX61" s="336"/>
      <c r="GY61" s="336"/>
      <c r="GZ61" s="336"/>
      <c r="HA61" s="336"/>
      <c r="HB61" s="336"/>
      <c r="HC61" s="336"/>
      <c r="HD61" s="336"/>
      <c r="HE61" s="336"/>
      <c r="HF61" s="336"/>
      <c r="HG61" s="336"/>
      <c r="HH61" s="336"/>
      <c r="HI61" s="336"/>
      <c r="HJ61" s="336"/>
      <c r="HK61" s="336"/>
      <c r="HL61" s="336"/>
      <c r="HM61" s="336"/>
      <c r="HN61" s="336"/>
      <c r="HO61" s="336"/>
      <c r="HP61" s="336"/>
      <c r="HQ61" s="336"/>
      <c r="HR61" s="336"/>
      <c r="HS61" s="336"/>
      <c r="HT61" s="336"/>
      <c r="HU61" s="336"/>
      <c r="HV61" s="336"/>
      <c r="HW61" s="336"/>
      <c r="HX61" s="336"/>
      <c r="HY61" s="336"/>
      <c r="HZ61" s="336"/>
      <c r="IA61" s="336"/>
      <c r="IB61" s="336"/>
      <c r="IC61" s="336"/>
      <c r="ID61" s="336"/>
      <c r="IE61" s="336"/>
      <c r="IF61" s="336"/>
      <c r="IG61" s="336"/>
      <c r="IH61" s="336"/>
      <c r="II61" s="336"/>
      <c r="IJ61" s="336"/>
      <c r="IK61" s="336"/>
      <c r="IL61" s="336"/>
      <c r="IM61" s="336"/>
      <c r="IN61" s="336"/>
      <c r="IO61" s="336"/>
      <c r="IP61" s="336"/>
      <c r="IQ61" s="336"/>
      <c r="IR61" s="336"/>
      <c r="IS61" s="336"/>
      <c r="IT61" s="336"/>
      <c r="IU61" s="336"/>
      <c r="IV61" s="336"/>
    </row>
    <row r="62" spans="1:256" ht="15" customHeight="1" thickTop="1">
      <c r="A62" s="174" t="s">
        <v>167</v>
      </c>
      <c r="B62" s="172"/>
      <c r="C62" s="172"/>
      <c r="D62" s="172"/>
      <c r="E62" s="172"/>
      <c r="F62" s="172"/>
      <c r="G62" s="173"/>
      <c r="H62" s="217"/>
      <c r="I62" s="217"/>
      <c r="J62" s="217"/>
      <c r="K62" s="217"/>
      <c r="L62" s="217"/>
      <c r="M62" s="217"/>
      <c r="N62" s="217"/>
      <c r="O62" s="217"/>
    </row>
    <row r="63" spans="1:256" ht="15" customHeight="1">
      <c r="A63" s="101" t="s">
        <v>168</v>
      </c>
      <c r="B63" s="165" t="s">
        <v>80</v>
      </c>
      <c r="C63" s="165" t="s">
        <v>81</v>
      </c>
      <c r="D63" s="165" t="s">
        <v>171</v>
      </c>
      <c r="E63" s="165" t="s">
        <v>249</v>
      </c>
      <c r="F63" s="165" t="s">
        <v>171</v>
      </c>
      <c r="G63" s="100" t="s">
        <v>172</v>
      </c>
      <c r="H63" s="217"/>
      <c r="I63" s="217"/>
      <c r="J63" s="217"/>
      <c r="K63" s="217"/>
      <c r="L63" s="217"/>
      <c r="M63" s="217"/>
      <c r="N63" s="217"/>
      <c r="O63" s="217"/>
    </row>
    <row r="64" spans="1:256" ht="15" customHeight="1" thickBot="1">
      <c r="A64" s="113" t="s">
        <v>169</v>
      </c>
      <c r="B64" s="114" t="s">
        <v>43</v>
      </c>
      <c r="C64" s="114" t="s">
        <v>170</v>
      </c>
      <c r="D64" s="114" t="s">
        <v>248</v>
      </c>
      <c r="E64" s="114" t="s">
        <v>250</v>
      </c>
      <c r="F64" s="114" t="s">
        <v>115</v>
      </c>
      <c r="G64" s="117" t="s">
        <v>173</v>
      </c>
      <c r="H64" s="217"/>
      <c r="I64" s="217"/>
      <c r="J64" s="217"/>
      <c r="K64" s="217"/>
      <c r="L64" s="217"/>
      <c r="M64" s="217"/>
      <c r="N64" s="217"/>
      <c r="O64" s="217"/>
    </row>
    <row r="65" spans="1:256" ht="15" customHeight="1" thickTop="1" thickBot="1">
      <c r="A65" s="82">
        <v>64</v>
      </c>
      <c r="B65" s="81">
        <v>7</v>
      </c>
      <c r="C65" s="58">
        <f>+(3600/B65)*A65</f>
        <v>32914.285714285717</v>
      </c>
      <c r="D65" s="81">
        <v>24</v>
      </c>
      <c r="E65" s="81">
        <v>220</v>
      </c>
      <c r="F65" s="58">
        <f>+D65*E65</f>
        <v>5280</v>
      </c>
      <c r="G65" s="83">
        <f>+C65*F65/1000000</f>
        <v>173.78742857142859</v>
      </c>
      <c r="H65" s="217"/>
      <c r="I65" s="217"/>
      <c r="J65" s="217"/>
      <c r="K65" s="217"/>
      <c r="L65" s="217"/>
      <c r="M65" s="217"/>
      <c r="N65" s="217"/>
      <c r="O65" s="217"/>
    </row>
    <row r="66" spans="1:256" ht="15" customHeight="1" thickTop="1" thickBot="1">
      <c r="A66" s="82">
        <v>32</v>
      </c>
      <c r="B66" s="81">
        <v>7</v>
      </c>
      <c r="C66" s="58">
        <f>+(3600/B66)*A66</f>
        <v>16457.142857142859</v>
      </c>
      <c r="D66" s="81">
        <v>24</v>
      </c>
      <c r="E66" s="58">
        <f>+F66/D66</f>
        <v>220</v>
      </c>
      <c r="F66" s="81">
        <v>5280</v>
      </c>
      <c r="G66" s="83">
        <f>+C66*F66/1000000</f>
        <v>86.893714285714296</v>
      </c>
      <c r="H66" s="217"/>
      <c r="I66" s="217"/>
      <c r="J66" s="217"/>
      <c r="K66" s="217"/>
      <c r="L66" s="217"/>
      <c r="M66" s="217"/>
      <c r="N66" s="217"/>
      <c r="O66" s="217"/>
    </row>
    <row r="67" spans="1:256" s="337" customFormat="1" ht="15" customHeight="1" thickTop="1" thickBot="1">
      <c r="A67" s="243"/>
      <c r="B67" s="243"/>
      <c r="C67" s="234"/>
      <c r="D67" s="243"/>
      <c r="E67" s="234"/>
      <c r="F67" s="243"/>
      <c r="G67" s="242"/>
      <c r="H67" s="236"/>
      <c r="I67" s="236"/>
      <c r="J67" s="236"/>
      <c r="K67" s="236"/>
      <c r="L67" s="236"/>
      <c r="M67" s="236"/>
      <c r="N67" s="236"/>
      <c r="O67" s="2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6"/>
      <c r="AW67" s="336"/>
      <c r="AX67" s="336"/>
      <c r="AY67" s="336"/>
      <c r="AZ67" s="336"/>
      <c r="BA67" s="336"/>
      <c r="BB67" s="336"/>
      <c r="BC67" s="336"/>
      <c r="BD67" s="336"/>
      <c r="BE67" s="336"/>
      <c r="BF67" s="336"/>
      <c r="BG67" s="336"/>
      <c r="BH67" s="336"/>
      <c r="BI67" s="336"/>
      <c r="BJ67" s="336"/>
      <c r="BK67" s="336"/>
      <c r="BL67" s="336"/>
      <c r="BM67" s="336"/>
      <c r="BN67" s="336"/>
      <c r="BO67" s="336"/>
      <c r="BP67" s="336"/>
      <c r="BQ67" s="336"/>
      <c r="BR67" s="336"/>
      <c r="BS67" s="336"/>
      <c r="BT67" s="336"/>
      <c r="BU67" s="336"/>
      <c r="BV67" s="336"/>
      <c r="BW67" s="336"/>
      <c r="BX67" s="336"/>
      <c r="BY67" s="336"/>
      <c r="BZ67" s="336"/>
      <c r="CA67" s="336"/>
      <c r="CB67" s="336"/>
      <c r="CC67" s="336"/>
      <c r="CD67" s="336"/>
      <c r="CE67" s="336"/>
      <c r="CF67" s="336"/>
      <c r="CG67" s="336"/>
      <c r="CH67" s="336"/>
      <c r="CI67" s="336"/>
      <c r="CJ67" s="336"/>
      <c r="CK67" s="336"/>
      <c r="CL67" s="336"/>
      <c r="CM67" s="336"/>
      <c r="CN67" s="336"/>
      <c r="CO67" s="336"/>
      <c r="CP67" s="336"/>
      <c r="CQ67" s="336"/>
      <c r="CR67" s="336"/>
      <c r="CS67" s="336"/>
      <c r="CT67" s="336"/>
      <c r="CU67" s="336"/>
      <c r="CV67" s="336"/>
      <c r="CW67" s="336"/>
      <c r="CX67" s="336"/>
      <c r="CY67" s="336"/>
      <c r="CZ67" s="336"/>
      <c r="DA67" s="336"/>
      <c r="DB67" s="336"/>
      <c r="DC67" s="336"/>
      <c r="DD67" s="336"/>
      <c r="DE67" s="336"/>
      <c r="DF67" s="336"/>
      <c r="DG67" s="336"/>
      <c r="DH67" s="336"/>
      <c r="DI67" s="336"/>
      <c r="DJ67" s="336"/>
      <c r="DK67" s="336"/>
      <c r="DL67" s="336"/>
      <c r="DM67" s="336"/>
      <c r="DN67" s="336"/>
      <c r="DO67" s="336"/>
      <c r="DP67" s="336"/>
      <c r="DQ67" s="336"/>
      <c r="DR67" s="336"/>
      <c r="DS67" s="336"/>
      <c r="DT67" s="336"/>
      <c r="DU67" s="336"/>
      <c r="DV67" s="336"/>
      <c r="DW67" s="336"/>
      <c r="DX67" s="336"/>
      <c r="DY67" s="336"/>
      <c r="DZ67" s="336"/>
      <c r="EA67" s="336"/>
      <c r="EB67" s="336"/>
      <c r="EC67" s="336"/>
      <c r="ED67" s="336"/>
      <c r="EE67" s="336"/>
      <c r="EF67" s="336"/>
      <c r="EG67" s="336"/>
      <c r="EH67" s="336"/>
      <c r="EI67" s="336"/>
      <c r="EJ67" s="336"/>
      <c r="EK67" s="336"/>
      <c r="EL67" s="336"/>
      <c r="EM67" s="336"/>
      <c r="EN67" s="336"/>
      <c r="EO67" s="336"/>
      <c r="EP67" s="336"/>
      <c r="EQ67" s="336"/>
      <c r="ER67" s="336"/>
      <c r="ES67" s="336"/>
      <c r="ET67" s="336"/>
      <c r="EU67" s="336"/>
      <c r="EV67" s="336"/>
      <c r="EW67" s="336"/>
      <c r="EX67" s="336"/>
      <c r="EY67" s="336"/>
      <c r="EZ67" s="336"/>
      <c r="FA67" s="336"/>
      <c r="FB67" s="336"/>
      <c r="FC67" s="336"/>
      <c r="FD67" s="336"/>
      <c r="FE67" s="336"/>
      <c r="FF67" s="336"/>
      <c r="FG67" s="336"/>
      <c r="FH67" s="336"/>
      <c r="FI67" s="336"/>
      <c r="FJ67" s="336"/>
      <c r="FK67" s="336"/>
      <c r="FL67" s="336"/>
      <c r="FM67" s="336"/>
      <c r="FN67" s="336"/>
      <c r="FO67" s="336"/>
      <c r="FP67" s="336"/>
      <c r="FQ67" s="336"/>
      <c r="FR67" s="336"/>
      <c r="FS67" s="336"/>
      <c r="FT67" s="336"/>
      <c r="FU67" s="336"/>
      <c r="FV67" s="336"/>
      <c r="FW67" s="336"/>
      <c r="FX67" s="336"/>
      <c r="FY67" s="336"/>
      <c r="FZ67" s="336"/>
      <c r="GA67" s="336"/>
      <c r="GB67" s="336"/>
      <c r="GC67" s="336"/>
      <c r="GD67" s="336"/>
      <c r="GE67" s="336"/>
      <c r="GF67" s="336"/>
      <c r="GG67" s="336"/>
      <c r="GH67" s="336"/>
      <c r="GI67" s="336"/>
      <c r="GJ67" s="336"/>
      <c r="GK67" s="336"/>
      <c r="GL67" s="336"/>
      <c r="GM67" s="336"/>
      <c r="GN67" s="336"/>
      <c r="GO67" s="336"/>
      <c r="GP67" s="336"/>
      <c r="GQ67" s="336"/>
      <c r="GR67" s="336"/>
      <c r="GS67" s="336"/>
      <c r="GT67" s="336"/>
      <c r="GU67" s="336"/>
      <c r="GV67" s="336"/>
      <c r="GW67" s="336"/>
      <c r="GX67" s="336"/>
      <c r="GY67" s="336"/>
      <c r="GZ67" s="336"/>
      <c r="HA67" s="336"/>
      <c r="HB67" s="336"/>
      <c r="HC67" s="336"/>
      <c r="HD67" s="336"/>
      <c r="HE67" s="336"/>
      <c r="HF67" s="336"/>
      <c r="HG67" s="336"/>
      <c r="HH67" s="336"/>
      <c r="HI67" s="336"/>
      <c r="HJ67" s="336"/>
      <c r="HK67" s="336"/>
      <c r="HL67" s="336"/>
      <c r="HM67" s="336"/>
      <c r="HN67" s="336"/>
      <c r="HO67" s="336"/>
      <c r="HP67" s="336"/>
      <c r="HQ67" s="336"/>
      <c r="HR67" s="336"/>
      <c r="HS67" s="336"/>
      <c r="HT67" s="336"/>
      <c r="HU67" s="336"/>
      <c r="HV67" s="336"/>
      <c r="HW67" s="336"/>
      <c r="HX67" s="336"/>
      <c r="HY67" s="336"/>
      <c r="HZ67" s="336"/>
      <c r="IA67" s="336"/>
      <c r="IB67" s="336"/>
      <c r="IC67" s="336"/>
      <c r="ID67" s="336"/>
      <c r="IE67" s="336"/>
      <c r="IF67" s="336"/>
      <c r="IG67" s="336"/>
      <c r="IH67" s="336"/>
      <c r="II67" s="336"/>
      <c r="IJ67" s="336"/>
      <c r="IK67" s="336"/>
      <c r="IL67" s="336"/>
      <c r="IM67" s="336"/>
      <c r="IN67" s="336"/>
      <c r="IO67" s="336"/>
      <c r="IP67" s="336"/>
      <c r="IQ67" s="336"/>
      <c r="IR67" s="336"/>
      <c r="IS67" s="336"/>
      <c r="IT67" s="336"/>
      <c r="IU67" s="336"/>
      <c r="IV67" s="336"/>
    </row>
    <row r="68" spans="1:256" ht="15" customHeight="1" thickTop="1">
      <c r="A68" s="135" t="s">
        <v>341</v>
      </c>
      <c r="B68" s="384"/>
      <c r="C68" s="384"/>
      <c r="D68" s="384"/>
      <c r="E68" s="384"/>
      <c r="F68" s="384"/>
      <c r="G68" s="384"/>
      <c r="H68" s="385"/>
      <c r="I68" s="217"/>
      <c r="J68" s="217"/>
      <c r="K68" s="217"/>
      <c r="L68" s="217"/>
      <c r="M68" s="217"/>
      <c r="N68" s="217"/>
      <c r="O68" s="217"/>
    </row>
    <row r="69" spans="1:256" ht="15" customHeight="1">
      <c r="A69" s="113" t="s">
        <v>79</v>
      </c>
      <c r="B69" s="114" t="s">
        <v>80</v>
      </c>
      <c r="C69" s="114" t="s">
        <v>81</v>
      </c>
      <c r="D69" s="114" t="s">
        <v>87</v>
      </c>
      <c r="E69" s="114" t="s">
        <v>88</v>
      </c>
      <c r="F69" s="114" t="s">
        <v>174</v>
      </c>
      <c r="G69" s="114" t="s">
        <v>174</v>
      </c>
      <c r="H69" s="117" t="s">
        <v>174</v>
      </c>
      <c r="I69" s="217"/>
      <c r="J69" s="217"/>
      <c r="K69" s="217"/>
      <c r="L69" s="217"/>
      <c r="M69" s="217"/>
      <c r="N69" s="217"/>
      <c r="O69" s="217"/>
    </row>
    <row r="70" spans="1:256" ht="15" customHeight="1">
      <c r="A70" s="192"/>
      <c r="B70" s="118"/>
      <c r="C70" s="118"/>
      <c r="D70" s="118"/>
      <c r="E70" s="118"/>
      <c r="F70" s="118" t="s">
        <v>251</v>
      </c>
      <c r="G70" s="118" t="s">
        <v>257</v>
      </c>
      <c r="H70" s="120" t="s">
        <v>109</v>
      </c>
      <c r="I70" s="217"/>
      <c r="J70" s="217"/>
      <c r="K70" s="217"/>
      <c r="L70" s="217"/>
      <c r="M70" s="217"/>
      <c r="N70" s="217"/>
      <c r="O70" s="217"/>
    </row>
    <row r="71" spans="1:256" ht="15" customHeight="1">
      <c r="A71" s="113" t="s">
        <v>42</v>
      </c>
      <c r="B71" s="114" t="s">
        <v>43</v>
      </c>
      <c r="C71" s="114" t="s">
        <v>50</v>
      </c>
      <c r="D71" s="114" t="s">
        <v>43</v>
      </c>
      <c r="E71" s="114" t="s">
        <v>13</v>
      </c>
      <c r="F71" s="114" t="s">
        <v>111</v>
      </c>
      <c r="G71" s="114" t="s">
        <v>256</v>
      </c>
      <c r="H71" s="117" t="s">
        <v>111</v>
      </c>
      <c r="I71" s="217"/>
      <c r="J71" s="217"/>
      <c r="K71" s="217"/>
      <c r="L71" s="217"/>
      <c r="M71" s="217"/>
      <c r="N71" s="217"/>
      <c r="O71" s="217"/>
    </row>
    <row r="72" spans="1:256" ht="15" customHeight="1">
      <c r="A72" s="400">
        <f>2.5*64</f>
        <v>160</v>
      </c>
      <c r="B72" s="401">
        <v>7</v>
      </c>
      <c r="C72" s="34">
        <f>+(A72/1000)*3600/B72</f>
        <v>82.285714285714292</v>
      </c>
      <c r="D72" s="401">
        <v>5</v>
      </c>
      <c r="E72" s="79">
        <f>+A72/D72</f>
        <v>32</v>
      </c>
      <c r="F72" s="401">
        <v>50</v>
      </c>
      <c r="G72" s="402">
        <v>0.6</v>
      </c>
      <c r="H72" s="403">
        <f>+F72*G72</f>
        <v>30</v>
      </c>
      <c r="I72" s="217"/>
      <c r="J72" s="217"/>
      <c r="K72" s="217"/>
      <c r="L72" s="217"/>
      <c r="M72" s="217"/>
      <c r="N72" s="217"/>
      <c r="O72" s="217"/>
    </row>
    <row r="73" spans="1:256" ht="15" customHeight="1">
      <c r="A73" s="398" t="s">
        <v>81</v>
      </c>
      <c r="B73" s="399" t="s">
        <v>86</v>
      </c>
      <c r="C73" s="399" t="s">
        <v>82</v>
      </c>
      <c r="D73" s="399" t="s">
        <v>253</v>
      </c>
      <c r="E73" s="399" t="s">
        <v>253</v>
      </c>
      <c r="F73" s="399" t="s">
        <v>84</v>
      </c>
      <c r="G73" s="399" t="s">
        <v>84</v>
      </c>
      <c r="H73" s="196" t="s">
        <v>84</v>
      </c>
      <c r="I73" s="217"/>
      <c r="J73" s="217"/>
      <c r="K73" s="217"/>
      <c r="L73" s="217"/>
      <c r="M73" s="217"/>
      <c r="N73" s="217"/>
      <c r="O73" s="217"/>
    </row>
    <row r="74" spans="1:256" ht="15" customHeight="1">
      <c r="A74" s="192"/>
      <c r="B74" s="118"/>
      <c r="C74" s="118"/>
      <c r="D74" s="118" t="s">
        <v>252</v>
      </c>
      <c r="E74" s="118" t="s">
        <v>254</v>
      </c>
      <c r="F74" s="118" t="s">
        <v>169</v>
      </c>
      <c r="G74" s="118" t="s">
        <v>169</v>
      </c>
      <c r="H74" s="120" t="s">
        <v>255</v>
      </c>
      <c r="I74" s="217"/>
      <c r="J74" s="217"/>
      <c r="K74" s="217"/>
      <c r="L74" s="217"/>
      <c r="M74" s="217"/>
      <c r="N74" s="217"/>
      <c r="O74" s="217"/>
    </row>
    <row r="75" spans="1:256" ht="15" customHeight="1">
      <c r="A75" s="113" t="s">
        <v>50</v>
      </c>
      <c r="B75" s="114" t="s">
        <v>53</v>
      </c>
      <c r="C75" s="114" t="s">
        <v>83</v>
      </c>
      <c r="D75" s="114" t="s">
        <v>72</v>
      </c>
      <c r="E75" s="114" t="s">
        <v>72</v>
      </c>
      <c r="F75" s="114" t="s">
        <v>54</v>
      </c>
      <c r="G75" s="114" t="s">
        <v>111</v>
      </c>
      <c r="H75" s="117" t="s">
        <v>111</v>
      </c>
      <c r="I75" s="217"/>
      <c r="J75" s="217"/>
      <c r="K75" s="217"/>
      <c r="L75" s="217"/>
      <c r="M75" s="217"/>
      <c r="N75" s="217"/>
      <c r="O75" s="217"/>
    </row>
    <row r="76" spans="1:256" ht="15" customHeight="1">
      <c r="A76" s="404">
        <f>+C72</f>
        <v>82.285714285714292</v>
      </c>
      <c r="B76" s="79" t="s">
        <v>55</v>
      </c>
      <c r="C76" s="79">
        <v>0.84</v>
      </c>
      <c r="D76" s="401">
        <v>50</v>
      </c>
      <c r="E76" s="401">
        <v>240</v>
      </c>
      <c r="F76" s="405">
        <f>+C76*0.238845*A76*(E76-D76)</f>
        <v>3136.7036160000002</v>
      </c>
      <c r="G76" s="405">
        <f>+F76/860</f>
        <v>3.6473297860465119</v>
      </c>
      <c r="H76" s="406">
        <f>+$H$72+G76</f>
        <v>33.647329786046512</v>
      </c>
      <c r="I76" s="217"/>
      <c r="J76" s="217"/>
      <c r="K76" s="217"/>
      <c r="L76" s="217"/>
      <c r="M76" s="217"/>
      <c r="N76" s="217"/>
      <c r="O76" s="217"/>
    </row>
    <row r="77" spans="1:256" ht="15" customHeight="1">
      <c r="A77" s="404">
        <f>+C72</f>
        <v>82.285714285714292</v>
      </c>
      <c r="B77" s="79" t="s">
        <v>56</v>
      </c>
      <c r="C77" s="79">
        <v>1.4</v>
      </c>
      <c r="D77" s="401">
        <v>50</v>
      </c>
      <c r="E77" s="401">
        <v>240</v>
      </c>
      <c r="F77" s="405">
        <f>+C77*0.238845*A77*(E77-D77)</f>
        <v>5227.8393599999999</v>
      </c>
      <c r="G77" s="405">
        <f t="shared" ref="G77:G80" si="0">+F77/860</f>
        <v>6.0788829767441861</v>
      </c>
      <c r="H77" s="406">
        <f>+$H$72+G77</f>
        <v>36.078882976744183</v>
      </c>
      <c r="I77" s="217"/>
      <c r="J77" s="217"/>
      <c r="K77" s="217"/>
      <c r="L77" s="217"/>
      <c r="M77" s="217"/>
      <c r="N77" s="217"/>
      <c r="O77" s="217"/>
    </row>
    <row r="78" spans="1:256" ht="15" customHeight="1">
      <c r="A78" s="404">
        <f>+C72</f>
        <v>82.285714285714292</v>
      </c>
      <c r="B78" s="79" t="s">
        <v>57</v>
      </c>
      <c r="C78" s="79">
        <v>1.8</v>
      </c>
      <c r="D78" s="401">
        <v>50</v>
      </c>
      <c r="E78" s="401">
        <v>240</v>
      </c>
      <c r="F78" s="405">
        <f>+C78*0.238845*A78*(E78-D78)</f>
        <v>6721.5077485714291</v>
      </c>
      <c r="G78" s="405">
        <f t="shared" si="0"/>
        <v>7.8157066843853826</v>
      </c>
      <c r="H78" s="406">
        <f>+$H$72+G78</f>
        <v>37.815706684385383</v>
      </c>
      <c r="I78" s="217"/>
      <c r="J78" s="217"/>
      <c r="K78" s="217"/>
      <c r="L78" s="217"/>
      <c r="M78" s="217"/>
      <c r="N78" s="217"/>
      <c r="O78" s="217"/>
    </row>
    <row r="79" spans="1:256" ht="15" customHeight="1">
      <c r="A79" s="404">
        <f>+C72</f>
        <v>82.285714285714292</v>
      </c>
      <c r="B79" s="79" t="s">
        <v>58</v>
      </c>
      <c r="C79" s="79">
        <v>1.3</v>
      </c>
      <c r="D79" s="401">
        <v>50</v>
      </c>
      <c r="E79" s="401">
        <v>240</v>
      </c>
      <c r="F79" s="405">
        <f>+C79*0.238845*A79*(E79-D79)</f>
        <v>4854.4222628571433</v>
      </c>
      <c r="G79" s="405">
        <f t="shared" si="0"/>
        <v>5.6446770498338878</v>
      </c>
      <c r="H79" s="406">
        <f>+$H$72+G79</f>
        <v>35.644677049833888</v>
      </c>
      <c r="I79" s="217"/>
      <c r="J79" s="217"/>
      <c r="K79" s="217"/>
      <c r="L79" s="217"/>
      <c r="M79" s="217"/>
      <c r="N79" s="217"/>
      <c r="O79" s="217"/>
    </row>
    <row r="80" spans="1:256" ht="15" customHeight="1" thickBot="1">
      <c r="A80" s="407">
        <f>+C72</f>
        <v>82.285714285714292</v>
      </c>
      <c r="B80" s="408" t="s">
        <v>85</v>
      </c>
      <c r="C80" s="409">
        <v>1</v>
      </c>
      <c r="D80" s="409">
        <v>50</v>
      </c>
      <c r="E80" s="409">
        <v>240</v>
      </c>
      <c r="F80" s="410">
        <f>+C80*0.238845*A80*(E80-D80)</f>
        <v>3734.1709714285716</v>
      </c>
      <c r="G80" s="410">
        <f t="shared" si="0"/>
        <v>4.3420592691029904</v>
      </c>
      <c r="H80" s="411">
        <f>+$H$72+G80</f>
        <v>34.34205926910299</v>
      </c>
      <c r="I80" s="217"/>
      <c r="J80" s="217"/>
      <c r="K80" s="217"/>
      <c r="L80" s="217"/>
      <c r="M80" s="217"/>
      <c r="N80" s="217"/>
      <c r="O80" s="217"/>
    </row>
    <row r="81" spans="1:256" s="337" customFormat="1" ht="15" customHeight="1" thickTop="1" thickBot="1">
      <c r="A81" s="247"/>
      <c r="B81" s="244"/>
      <c r="C81" s="246"/>
      <c r="D81" s="246"/>
      <c r="E81" s="246"/>
      <c r="F81" s="245"/>
      <c r="G81" s="245"/>
      <c r="H81" s="245"/>
      <c r="I81" s="236"/>
      <c r="J81" s="236"/>
      <c r="K81" s="236"/>
      <c r="L81" s="236"/>
      <c r="M81" s="236"/>
      <c r="N81" s="236"/>
      <c r="O81" s="236"/>
      <c r="P81" s="336"/>
      <c r="Q81" s="336"/>
      <c r="R81" s="336"/>
      <c r="S81" s="336"/>
      <c r="T81" s="336"/>
      <c r="U81" s="336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  <c r="BC81" s="336"/>
      <c r="BD81" s="336"/>
      <c r="BE81" s="336"/>
      <c r="BF81" s="336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BT81" s="336"/>
      <c r="BU81" s="336"/>
      <c r="BV81" s="336"/>
      <c r="BW81" s="336"/>
      <c r="BX81" s="336"/>
      <c r="BY81" s="336"/>
      <c r="BZ81" s="336"/>
      <c r="CA81" s="336"/>
      <c r="CB81" s="336"/>
      <c r="CC81" s="336"/>
      <c r="CD81" s="336"/>
      <c r="CE81" s="336"/>
      <c r="CF81" s="336"/>
      <c r="CG81" s="336"/>
      <c r="CH81" s="336"/>
      <c r="CI81" s="336"/>
      <c r="CJ81" s="336"/>
      <c r="CK81" s="336"/>
      <c r="CL81" s="336"/>
      <c r="CM81" s="336"/>
      <c r="CN81" s="336"/>
      <c r="CO81" s="336"/>
      <c r="CP81" s="336"/>
      <c r="CQ81" s="336"/>
      <c r="CR81" s="336"/>
      <c r="CS81" s="336"/>
      <c r="CT81" s="336"/>
      <c r="CU81" s="336"/>
      <c r="CV81" s="336"/>
      <c r="CW81" s="336"/>
      <c r="CX81" s="336"/>
      <c r="CY81" s="336"/>
      <c r="CZ81" s="336"/>
      <c r="DA81" s="336"/>
      <c r="DB81" s="336"/>
      <c r="DC81" s="336"/>
      <c r="DD81" s="336"/>
      <c r="DE81" s="336"/>
      <c r="DF81" s="336"/>
      <c r="DG81" s="336"/>
      <c r="DH81" s="336"/>
      <c r="DI81" s="336"/>
      <c r="DJ81" s="336"/>
      <c r="DK81" s="336"/>
      <c r="DL81" s="336"/>
      <c r="DM81" s="336"/>
      <c r="DN81" s="336"/>
      <c r="DO81" s="336"/>
      <c r="DP81" s="336"/>
      <c r="DQ81" s="336"/>
      <c r="DR81" s="336"/>
      <c r="DS81" s="336"/>
      <c r="DT81" s="336"/>
      <c r="DU81" s="336"/>
      <c r="DV81" s="336"/>
      <c r="DW81" s="336"/>
      <c r="DX81" s="336"/>
      <c r="DY81" s="336"/>
      <c r="DZ81" s="336"/>
      <c r="EA81" s="336"/>
      <c r="EB81" s="336"/>
      <c r="EC81" s="336"/>
      <c r="ED81" s="336"/>
      <c r="EE81" s="336"/>
      <c r="EF81" s="336"/>
      <c r="EG81" s="336"/>
      <c r="EH81" s="336"/>
      <c r="EI81" s="336"/>
      <c r="EJ81" s="336"/>
      <c r="EK81" s="336"/>
      <c r="EL81" s="336"/>
      <c r="EM81" s="336"/>
      <c r="EN81" s="336"/>
      <c r="EO81" s="336"/>
      <c r="EP81" s="336"/>
      <c r="EQ81" s="336"/>
      <c r="ER81" s="336"/>
      <c r="ES81" s="336"/>
      <c r="ET81" s="336"/>
      <c r="EU81" s="336"/>
      <c r="EV81" s="336"/>
      <c r="EW81" s="336"/>
      <c r="EX81" s="336"/>
      <c r="EY81" s="336"/>
      <c r="EZ81" s="336"/>
      <c r="FA81" s="336"/>
      <c r="FB81" s="336"/>
      <c r="FC81" s="336"/>
      <c r="FD81" s="336"/>
      <c r="FE81" s="336"/>
      <c r="FF81" s="336"/>
      <c r="FG81" s="336"/>
      <c r="FH81" s="336"/>
      <c r="FI81" s="336"/>
      <c r="FJ81" s="336"/>
      <c r="FK81" s="336"/>
      <c r="FL81" s="336"/>
      <c r="FM81" s="336"/>
      <c r="FN81" s="336"/>
      <c r="FO81" s="336"/>
      <c r="FP81" s="336"/>
      <c r="FQ81" s="336"/>
      <c r="FR81" s="336"/>
      <c r="FS81" s="336"/>
      <c r="FT81" s="336"/>
      <c r="FU81" s="336"/>
      <c r="FV81" s="336"/>
      <c r="FW81" s="336"/>
      <c r="FX81" s="336"/>
      <c r="FY81" s="336"/>
      <c r="FZ81" s="336"/>
      <c r="GA81" s="336"/>
      <c r="GB81" s="336"/>
      <c r="GC81" s="336"/>
      <c r="GD81" s="336"/>
      <c r="GE81" s="336"/>
      <c r="GF81" s="336"/>
      <c r="GG81" s="336"/>
      <c r="GH81" s="336"/>
      <c r="GI81" s="336"/>
      <c r="GJ81" s="336"/>
      <c r="GK81" s="336"/>
      <c r="GL81" s="336"/>
      <c r="GM81" s="336"/>
      <c r="GN81" s="336"/>
      <c r="GO81" s="336"/>
      <c r="GP81" s="336"/>
      <c r="GQ81" s="336"/>
      <c r="GR81" s="336"/>
      <c r="GS81" s="336"/>
      <c r="GT81" s="336"/>
      <c r="GU81" s="336"/>
      <c r="GV81" s="336"/>
      <c r="GW81" s="336"/>
      <c r="GX81" s="336"/>
      <c r="GY81" s="336"/>
      <c r="GZ81" s="336"/>
      <c r="HA81" s="336"/>
      <c r="HB81" s="336"/>
      <c r="HC81" s="336"/>
      <c r="HD81" s="336"/>
      <c r="HE81" s="336"/>
      <c r="HF81" s="336"/>
      <c r="HG81" s="336"/>
      <c r="HH81" s="336"/>
      <c r="HI81" s="336"/>
      <c r="HJ81" s="336"/>
      <c r="HK81" s="336"/>
      <c r="HL81" s="336"/>
      <c r="HM81" s="336"/>
      <c r="HN81" s="336"/>
      <c r="HO81" s="336"/>
      <c r="HP81" s="336"/>
      <c r="HQ81" s="336"/>
      <c r="HR81" s="336"/>
      <c r="HS81" s="336"/>
      <c r="HT81" s="336"/>
      <c r="HU81" s="336"/>
      <c r="HV81" s="336"/>
      <c r="HW81" s="336"/>
      <c r="HX81" s="336"/>
      <c r="HY81" s="336"/>
      <c r="HZ81" s="336"/>
      <c r="IA81" s="336"/>
      <c r="IB81" s="336"/>
      <c r="IC81" s="336"/>
      <c r="ID81" s="336"/>
      <c r="IE81" s="336"/>
      <c r="IF81" s="336"/>
      <c r="IG81" s="336"/>
      <c r="IH81" s="336"/>
      <c r="II81" s="336"/>
      <c r="IJ81" s="336"/>
      <c r="IK81" s="336"/>
      <c r="IL81" s="336"/>
      <c r="IM81" s="336"/>
      <c r="IN81" s="336"/>
      <c r="IO81" s="336"/>
      <c r="IP81" s="336"/>
      <c r="IQ81" s="336"/>
      <c r="IR81" s="336"/>
      <c r="IS81" s="336"/>
      <c r="IT81" s="336"/>
      <c r="IU81" s="336"/>
      <c r="IV81" s="336"/>
    </row>
    <row r="82" spans="1:256" ht="15" customHeight="1" thickTop="1">
      <c r="A82" s="135" t="s">
        <v>78</v>
      </c>
      <c r="B82" s="140"/>
      <c r="C82" s="123"/>
      <c r="D82" s="141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</row>
    <row r="83" spans="1:256" ht="15" customHeight="1">
      <c r="A83" s="101" t="s">
        <v>58</v>
      </c>
      <c r="B83" s="165" t="s">
        <v>58</v>
      </c>
      <c r="C83" s="165" t="s">
        <v>55</v>
      </c>
      <c r="D83" s="100" t="s">
        <v>55</v>
      </c>
      <c r="E83" s="218"/>
      <c r="F83" s="218"/>
      <c r="G83" s="217"/>
      <c r="H83" s="217"/>
      <c r="I83" s="217"/>
      <c r="J83" s="217"/>
      <c r="K83" s="217"/>
      <c r="L83" s="217"/>
      <c r="M83" s="217"/>
      <c r="N83" s="217"/>
      <c r="O83" s="217"/>
    </row>
    <row r="84" spans="1:256" ht="15" customHeight="1" thickBot="1">
      <c r="A84" s="113" t="s">
        <v>50</v>
      </c>
      <c r="B84" s="114" t="s">
        <v>13</v>
      </c>
      <c r="C84" s="114" t="s">
        <v>50</v>
      </c>
      <c r="D84" s="117" t="s">
        <v>13</v>
      </c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</row>
    <row r="85" spans="1:256" ht="15" customHeight="1" thickTop="1" thickBot="1">
      <c r="A85" s="67">
        <f>B85*3.6</f>
        <v>306</v>
      </c>
      <c r="B85" s="12">
        <v>85</v>
      </c>
      <c r="C85" s="13">
        <f>A85*0.75/0.95</f>
        <v>241.57894736842107</v>
      </c>
      <c r="D85" s="63">
        <f>C85/3.6</f>
        <v>67.10526315789474</v>
      </c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</row>
    <row r="86" spans="1:256" ht="15" customHeight="1" thickTop="1" thickBot="1">
      <c r="A86" s="68">
        <v>306</v>
      </c>
      <c r="B86" s="11">
        <f>A86/3.6</f>
        <v>85</v>
      </c>
      <c r="C86" s="13">
        <f>A86*0.75/0.95</f>
        <v>241.57894736842107</v>
      </c>
      <c r="D86" s="63">
        <f>C86/3.6</f>
        <v>67.10526315789474</v>
      </c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</row>
    <row r="87" spans="1:256" s="337" customFormat="1" ht="15" customHeight="1" thickTop="1" thickBot="1">
      <c r="A87" s="222"/>
      <c r="B87" s="219"/>
      <c r="C87" s="238"/>
      <c r="D87" s="219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6"/>
      <c r="AW87" s="336"/>
      <c r="AX87" s="336"/>
      <c r="AY87" s="336"/>
      <c r="AZ87" s="336"/>
      <c r="BA87" s="336"/>
      <c r="BB87" s="336"/>
      <c r="BC87" s="336"/>
      <c r="BD87" s="336"/>
      <c r="BE87" s="336"/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6"/>
      <c r="BU87" s="336"/>
      <c r="BV87" s="336"/>
      <c r="BW87" s="336"/>
      <c r="BX87" s="336"/>
      <c r="BY87" s="336"/>
      <c r="BZ87" s="336"/>
      <c r="CA87" s="336"/>
      <c r="CB87" s="336"/>
      <c r="CC87" s="336"/>
      <c r="CD87" s="336"/>
      <c r="CE87" s="336"/>
      <c r="CF87" s="336"/>
      <c r="CG87" s="336"/>
      <c r="CH87" s="336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336"/>
      <c r="CW87" s="336"/>
      <c r="CX87" s="336"/>
      <c r="CY87" s="336"/>
      <c r="CZ87" s="336"/>
      <c r="DA87" s="336"/>
      <c r="DB87" s="336"/>
      <c r="DC87" s="336"/>
      <c r="DD87" s="336"/>
      <c r="DE87" s="336"/>
      <c r="DF87" s="336"/>
      <c r="DG87" s="336"/>
      <c r="DH87" s="336"/>
      <c r="DI87" s="336"/>
      <c r="DJ87" s="336"/>
      <c r="DK87" s="336"/>
      <c r="DL87" s="336"/>
      <c r="DM87" s="336"/>
      <c r="DN87" s="336"/>
      <c r="DO87" s="336"/>
      <c r="DP87" s="336"/>
      <c r="DQ87" s="336"/>
      <c r="DR87" s="336"/>
      <c r="DS87" s="336"/>
      <c r="DT87" s="336"/>
      <c r="DU87" s="336"/>
      <c r="DV87" s="336"/>
      <c r="DW87" s="336"/>
      <c r="DX87" s="336"/>
      <c r="DY87" s="336"/>
      <c r="DZ87" s="336"/>
      <c r="EA87" s="336"/>
      <c r="EB87" s="336"/>
      <c r="EC87" s="336"/>
      <c r="ED87" s="336"/>
      <c r="EE87" s="336"/>
      <c r="EF87" s="336"/>
      <c r="EG87" s="336"/>
      <c r="EH87" s="336"/>
      <c r="EI87" s="336"/>
      <c r="EJ87" s="336"/>
      <c r="EK87" s="336"/>
      <c r="EL87" s="336"/>
      <c r="EM87" s="336"/>
      <c r="EN87" s="336"/>
      <c r="EO87" s="336"/>
      <c r="EP87" s="336"/>
      <c r="EQ87" s="336"/>
      <c r="ER87" s="336"/>
      <c r="ES87" s="336"/>
      <c r="ET87" s="336"/>
      <c r="EU87" s="336"/>
      <c r="EV87" s="336"/>
      <c r="EW87" s="336"/>
      <c r="EX87" s="336"/>
      <c r="EY87" s="336"/>
      <c r="EZ87" s="336"/>
      <c r="FA87" s="336"/>
      <c r="FB87" s="336"/>
      <c r="FC87" s="336"/>
      <c r="FD87" s="336"/>
      <c r="FE87" s="336"/>
      <c r="FF87" s="336"/>
      <c r="FG87" s="336"/>
      <c r="FH87" s="336"/>
      <c r="FI87" s="336"/>
      <c r="FJ87" s="336"/>
      <c r="FK87" s="336"/>
      <c r="FL87" s="336"/>
      <c r="FM87" s="336"/>
      <c r="FN87" s="336"/>
      <c r="FO87" s="336"/>
      <c r="FP87" s="336"/>
      <c r="FQ87" s="336"/>
      <c r="FR87" s="336"/>
      <c r="FS87" s="336"/>
      <c r="FT87" s="336"/>
      <c r="FU87" s="336"/>
      <c r="FV87" s="336"/>
      <c r="FW87" s="336"/>
      <c r="FX87" s="336"/>
      <c r="FY87" s="336"/>
      <c r="FZ87" s="336"/>
      <c r="GA87" s="336"/>
      <c r="GB87" s="336"/>
      <c r="GC87" s="336"/>
      <c r="GD87" s="336"/>
      <c r="GE87" s="336"/>
      <c r="GF87" s="336"/>
      <c r="GG87" s="336"/>
      <c r="GH87" s="336"/>
      <c r="GI87" s="336"/>
      <c r="GJ87" s="336"/>
      <c r="GK87" s="336"/>
      <c r="GL87" s="336"/>
      <c r="GM87" s="336"/>
      <c r="GN87" s="336"/>
      <c r="GO87" s="336"/>
      <c r="GP87" s="336"/>
      <c r="GQ87" s="336"/>
      <c r="GR87" s="336"/>
      <c r="GS87" s="336"/>
      <c r="GT87" s="336"/>
      <c r="GU87" s="336"/>
      <c r="GV87" s="336"/>
      <c r="GW87" s="336"/>
      <c r="GX87" s="336"/>
      <c r="GY87" s="336"/>
      <c r="GZ87" s="336"/>
      <c r="HA87" s="336"/>
      <c r="HB87" s="336"/>
      <c r="HC87" s="336"/>
      <c r="HD87" s="336"/>
      <c r="HE87" s="336"/>
      <c r="HF87" s="336"/>
      <c r="HG87" s="336"/>
      <c r="HH87" s="336"/>
      <c r="HI87" s="336"/>
      <c r="HJ87" s="336"/>
      <c r="HK87" s="336"/>
      <c r="HL87" s="336"/>
      <c r="HM87" s="336"/>
      <c r="HN87" s="336"/>
      <c r="HO87" s="336"/>
      <c r="HP87" s="336"/>
      <c r="HQ87" s="336"/>
      <c r="HR87" s="336"/>
      <c r="HS87" s="336"/>
      <c r="HT87" s="336"/>
      <c r="HU87" s="336"/>
      <c r="HV87" s="336"/>
      <c r="HW87" s="336"/>
      <c r="HX87" s="336"/>
      <c r="HY87" s="336"/>
      <c r="HZ87" s="336"/>
      <c r="IA87" s="336"/>
      <c r="IB87" s="336"/>
      <c r="IC87" s="336"/>
      <c r="ID87" s="336"/>
      <c r="IE87" s="336"/>
      <c r="IF87" s="336"/>
      <c r="IG87" s="336"/>
      <c r="IH87" s="336"/>
      <c r="II87" s="336"/>
      <c r="IJ87" s="336"/>
      <c r="IK87" s="336"/>
      <c r="IL87" s="336"/>
      <c r="IM87" s="336"/>
      <c r="IN87" s="336"/>
      <c r="IO87" s="336"/>
      <c r="IP87" s="336"/>
      <c r="IQ87" s="336"/>
      <c r="IR87" s="336"/>
      <c r="IS87" s="336"/>
      <c r="IT87" s="336"/>
      <c r="IU87" s="336"/>
      <c r="IV87" s="336"/>
    </row>
    <row r="88" spans="1:256" ht="15" customHeight="1" thickTop="1">
      <c r="A88" s="186" t="s">
        <v>38</v>
      </c>
      <c r="B88" s="187"/>
      <c r="C88" s="123"/>
      <c r="D88" s="111"/>
      <c r="E88" s="141"/>
      <c r="F88" s="217"/>
      <c r="G88" s="217"/>
      <c r="H88" s="217"/>
      <c r="I88" s="217"/>
      <c r="J88" s="217"/>
      <c r="K88" s="217"/>
      <c r="L88" s="217"/>
      <c r="M88" s="217"/>
      <c r="N88" s="217"/>
      <c r="O88" s="217"/>
    </row>
    <row r="89" spans="1:256" ht="15" customHeight="1">
      <c r="A89" s="101" t="s">
        <v>105</v>
      </c>
      <c r="B89" s="181" t="s">
        <v>16</v>
      </c>
      <c r="C89" s="165" t="s">
        <v>49</v>
      </c>
      <c r="D89" s="181" t="s">
        <v>53</v>
      </c>
      <c r="E89" s="188" t="s">
        <v>79</v>
      </c>
      <c r="F89" s="217"/>
      <c r="G89" s="217"/>
      <c r="H89" s="217"/>
      <c r="I89" s="217"/>
      <c r="J89" s="217"/>
      <c r="K89" s="217"/>
      <c r="L89" s="217"/>
      <c r="M89" s="217"/>
      <c r="N89" s="217"/>
      <c r="O89" s="217"/>
    </row>
    <row r="90" spans="1:256" ht="15" customHeight="1" thickBot="1">
      <c r="A90" s="189" t="s">
        <v>40</v>
      </c>
      <c r="B90" s="114" t="s">
        <v>40</v>
      </c>
      <c r="C90" s="114" t="s">
        <v>39</v>
      </c>
      <c r="D90" s="184" t="s">
        <v>41</v>
      </c>
      <c r="E90" s="190" t="s">
        <v>42</v>
      </c>
      <c r="F90" s="217"/>
      <c r="G90" s="217"/>
      <c r="H90" s="217"/>
      <c r="I90" s="217"/>
      <c r="J90" s="217"/>
      <c r="K90" s="217"/>
      <c r="L90" s="217"/>
      <c r="M90" s="217"/>
      <c r="N90" s="217"/>
      <c r="O90" s="217"/>
    </row>
    <row r="91" spans="1:256" ht="15" customHeight="1" thickTop="1" thickBot="1">
      <c r="A91" s="3">
        <f>+C91/(+B91*B91)*(4/0.0031415)</f>
        <v>258.86459987135692</v>
      </c>
      <c r="B91" s="4">
        <v>55</v>
      </c>
      <c r="C91" s="5">
        <f>+E91/D91</f>
        <v>615</v>
      </c>
      <c r="D91" s="6">
        <v>1</v>
      </c>
      <c r="E91" s="7">
        <v>615</v>
      </c>
      <c r="F91" s="217"/>
      <c r="G91" s="217"/>
      <c r="H91" s="217"/>
      <c r="I91" s="217"/>
      <c r="J91" s="217"/>
      <c r="K91" s="217"/>
      <c r="L91" s="217"/>
      <c r="M91" s="217"/>
      <c r="N91" s="217"/>
      <c r="O91" s="217"/>
    </row>
    <row r="92" spans="1:256" ht="15" customHeight="1" thickTop="1" thickBot="1">
      <c r="A92" s="3">
        <f>+C92/(+B92*B92)*(4/0.0031415)</f>
        <v>302.5306382301448</v>
      </c>
      <c r="B92" s="4">
        <v>50</v>
      </c>
      <c r="C92" s="8">
        <v>594</v>
      </c>
      <c r="D92" s="6">
        <v>0.75</v>
      </c>
      <c r="E92" s="9">
        <f>+C92*D92</f>
        <v>445.5</v>
      </c>
      <c r="F92" s="217"/>
      <c r="G92" s="217"/>
      <c r="H92" s="217"/>
      <c r="I92" s="217"/>
      <c r="J92" s="217"/>
      <c r="K92" s="217"/>
      <c r="L92" s="217"/>
      <c r="M92" s="217"/>
      <c r="N92" s="217"/>
      <c r="O92" s="217"/>
    </row>
    <row r="93" spans="1:256" ht="15" customHeight="1" thickTop="1" thickBot="1">
      <c r="A93" s="10">
        <v>79</v>
      </c>
      <c r="B93" s="11">
        <f>((C93*4)/(A93*0.0031415))^0.5</f>
        <v>49.982015756033476</v>
      </c>
      <c r="C93" s="8">
        <v>155</v>
      </c>
      <c r="D93" s="6">
        <v>0.75</v>
      </c>
      <c r="E93" s="9">
        <f>+C93*D93</f>
        <v>116.25</v>
      </c>
      <c r="F93" s="217"/>
      <c r="G93" s="217"/>
      <c r="H93" s="217"/>
      <c r="I93" s="217"/>
      <c r="J93" s="217"/>
      <c r="K93" s="217"/>
      <c r="L93" s="217"/>
      <c r="M93" s="217"/>
      <c r="N93" s="217"/>
      <c r="O93" s="217"/>
    </row>
    <row r="94" spans="1:256" ht="15" customHeight="1" thickTop="1" thickBot="1">
      <c r="A94" s="10">
        <v>79</v>
      </c>
      <c r="B94" s="12">
        <v>50</v>
      </c>
      <c r="C94" s="13">
        <f>+B94*B94*A94*0.0031415/4</f>
        <v>155.11156250000002</v>
      </c>
      <c r="D94" s="6">
        <v>0.75</v>
      </c>
      <c r="E94" s="9">
        <f>+C94*D94</f>
        <v>116.33367187500002</v>
      </c>
      <c r="F94" s="217"/>
      <c r="G94" s="217"/>
      <c r="H94" s="217"/>
      <c r="I94" s="217"/>
      <c r="J94" s="217"/>
      <c r="K94" s="217"/>
      <c r="L94" s="217"/>
      <c r="M94" s="217"/>
      <c r="N94" s="217"/>
      <c r="O94" s="217"/>
    </row>
    <row r="95" spans="1:256" s="337" customFormat="1" ht="15" customHeight="1" thickTop="1" thickBot="1">
      <c r="A95" s="248"/>
      <c r="B95" s="248"/>
      <c r="C95" s="238"/>
      <c r="D95" s="239"/>
      <c r="E95" s="238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6"/>
      <c r="BB95" s="336"/>
      <c r="BC95" s="336"/>
      <c r="BD95" s="336"/>
      <c r="BE95" s="336"/>
      <c r="BF95" s="336"/>
      <c r="BG95" s="336"/>
      <c r="BH95" s="336"/>
      <c r="BI95" s="336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  <c r="BU95" s="336"/>
      <c r="BV95" s="336"/>
      <c r="BW95" s="336"/>
      <c r="BX95" s="336"/>
      <c r="BY95" s="336"/>
      <c r="BZ95" s="336"/>
      <c r="CA95" s="336"/>
      <c r="CB95" s="336"/>
      <c r="CC95" s="336"/>
      <c r="CD95" s="336"/>
      <c r="CE95" s="336"/>
      <c r="CF95" s="336"/>
      <c r="CG95" s="336"/>
      <c r="CH95" s="336"/>
      <c r="CI95" s="336"/>
      <c r="CJ95" s="336"/>
      <c r="CK95" s="336"/>
      <c r="CL95" s="336"/>
      <c r="CM95" s="336"/>
      <c r="CN95" s="336"/>
      <c r="CO95" s="336"/>
      <c r="CP95" s="336"/>
      <c r="CQ95" s="336"/>
      <c r="CR95" s="336"/>
      <c r="CS95" s="336"/>
      <c r="CT95" s="336"/>
      <c r="CU95" s="336"/>
      <c r="CV95" s="336"/>
      <c r="CW95" s="336"/>
      <c r="CX95" s="336"/>
      <c r="CY95" s="336"/>
      <c r="CZ95" s="336"/>
      <c r="DA95" s="336"/>
      <c r="DB95" s="336"/>
      <c r="DC95" s="336"/>
      <c r="DD95" s="336"/>
      <c r="DE95" s="336"/>
      <c r="DF95" s="336"/>
      <c r="DG95" s="336"/>
      <c r="DH95" s="336"/>
      <c r="DI95" s="336"/>
      <c r="DJ95" s="336"/>
      <c r="DK95" s="336"/>
      <c r="DL95" s="336"/>
      <c r="DM95" s="336"/>
      <c r="DN95" s="336"/>
      <c r="DO95" s="336"/>
      <c r="DP95" s="336"/>
      <c r="DQ95" s="336"/>
      <c r="DR95" s="336"/>
      <c r="DS95" s="336"/>
      <c r="DT95" s="336"/>
      <c r="DU95" s="336"/>
      <c r="DV95" s="336"/>
      <c r="DW95" s="336"/>
      <c r="DX95" s="336"/>
      <c r="DY95" s="336"/>
      <c r="DZ95" s="336"/>
      <c r="EA95" s="336"/>
      <c r="EB95" s="336"/>
      <c r="EC95" s="336"/>
      <c r="ED95" s="336"/>
      <c r="EE95" s="336"/>
      <c r="EF95" s="336"/>
      <c r="EG95" s="336"/>
      <c r="EH95" s="336"/>
      <c r="EI95" s="336"/>
      <c r="EJ95" s="336"/>
      <c r="EK95" s="336"/>
      <c r="EL95" s="336"/>
      <c r="EM95" s="336"/>
      <c r="EN95" s="336"/>
      <c r="EO95" s="336"/>
      <c r="EP95" s="336"/>
      <c r="EQ95" s="336"/>
      <c r="ER95" s="336"/>
      <c r="ES95" s="336"/>
      <c r="ET95" s="336"/>
      <c r="EU95" s="336"/>
      <c r="EV95" s="336"/>
      <c r="EW95" s="336"/>
      <c r="EX95" s="336"/>
      <c r="EY95" s="336"/>
      <c r="EZ95" s="336"/>
      <c r="FA95" s="336"/>
      <c r="FB95" s="336"/>
      <c r="FC95" s="336"/>
      <c r="FD95" s="336"/>
      <c r="FE95" s="336"/>
      <c r="FF95" s="336"/>
      <c r="FG95" s="336"/>
      <c r="FH95" s="336"/>
      <c r="FI95" s="336"/>
      <c r="FJ95" s="336"/>
      <c r="FK95" s="336"/>
      <c r="FL95" s="336"/>
      <c r="FM95" s="336"/>
      <c r="FN95" s="336"/>
      <c r="FO95" s="336"/>
      <c r="FP95" s="336"/>
      <c r="FQ95" s="336"/>
      <c r="FR95" s="336"/>
      <c r="FS95" s="336"/>
      <c r="FT95" s="336"/>
      <c r="FU95" s="336"/>
      <c r="FV95" s="336"/>
      <c r="FW95" s="336"/>
      <c r="FX95" s="336"/>
      <c r="FY95" s="336"/>
      <c r="FZ95" s="336"/>
      <c r="GA95" s="336"/>
      <c r="GB95" s="336"/>
      <c r="GC95" s="336"/>
      <c r="GD95" s="336"/>
      <c r="GE95" s="336"/>
      <c r="GF95" s="336"/>
      <c r="GG95" s="336"/>
      <c r="GH95" s="336"/>
      <c r="GI95" s="336"/>
      <c r="GJ95" s="336"/>
      <c r="GK95" s="336"/>
      <c r="GL95" s="336"/>
      <c r="GM95" s="336"/>
      <c r="GN95" s="336"/>
      <c r="GO95" s="336"/>
      <c r="GP95" s="336"/>
      <c r="GQ95" s="336"/>
      <c r="GR95" s="336"/>
      <c r="GS95" s="336"/>
      <c r="GT95" s="336"/>
      <c r="GU95" s="336"/>
      <c r="GV95" s="336"/>
      <c r="GW95" s="336"/>
      <c r="GX95" s="336"/>
      <c r="GY95" s="336"/>
      <c r="GZ95" s="336"/>
      <c r="HA95" s="336"/>
      <c r="HB95" s="336"/>
      <c r="HC95" s="336"/>
      <c r="HD95" s="336"/>
      <c r="HE95" s="336"/>
      <c r="HF95" s="336"/>
      <c r="HG95" s="336"/>
      <c r="HH95" s="336"/>
      <c r="HI95" s="336"/>
      <c r="HJ95" s="336"/>
      <c r="HK95" s="336"/>
      <c r="HL95" s="336"/>
      <c r="HM95" s="336"/>
      <c r="HN95" s="336"/>
      <c r="HO95" s="336"/>
      <c r="HP95" s="336"/>
      <c r="HQ95" s="336"/>
      <c r="HR95" s="336"/>
      <c r="HS95" s="336"/>
      <c r="HT95" s="336"/>
      <c r="HU95" s="336"/>
      <c r="HV95" s="336"/>
      <c r="HW95" s="336"/>
      <c r="HX95" s="336"/>
      <c r="HY95" s="336"/>
      <c r="HZ95" s="336"/>
      <c r="IA95" s="336"/>
      <c r="IB95" s="336"/>
      <c r="IC95" s="336"/>
      <c r="ID95" s="336"/>
      <c r="IE95" s="336"/>
      <c r="IF95" s="336"/>
      <c r="IG95" s="336"/>
      <c r="IH95" s="336"/>
      <c r="II95" s="336"/>
      <c r="IJ95" s="336"/>
      <c r="IK95" s="336"/>
      <c r="IL95" s="336"/>
      <c r="IM95" s="336"/>
      <c r="IN95" s="336"/>
      <c r="IO95" s="336"/>
      <c r="IP95" s="336"/>
      <c r="IQ95" s="336"/>
      <c r="IR95" s="336"/>
      <c r="IS95" s="336"/>
      <c r="IT95" s="336"/>
      <c r="IU95" s="336"/>
      <c r="IV95" s="336"/>
    </row>
    <row r="96" spans="1:256" s="337" customFormat="1" ht="15" customHeight="1" thickTop="1">
      <c r="A96" s="176" t="s">
        <v>304</v>
      </c>
      <c r="B96" s="177"/>
      <c r="C96" s="178"/>
      <c r="D96" s="110"/>
      <c r="E96" s="319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336"/>
      <c r="AD96" s="336"/>
      <c r="AE96" s="336"/>
      <c r="AF96" s="336"/>
      <c r="AG96" s="336"/>
      <c r="AH96" s="336"/>
      <c r="AI96" s="336"/>
      <c r="AJ96" s="336"/>
      <c r="AK96" s="336"/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6"/>
      <c r="AW96" s="336"/>
      <c r="AX96" s="336"/>
      <c r="AY96" s="336"/>
      <c r="AZ96" s="336"/>
      <c r="BA96" s="336"/>
      <c r="BB96" s="336"/>
      <c r="BC96" s="336"/>
      <c r="BD96" s="336"/>
      <c r="BE96" s="336"/>
      <c r="BF96" s="336"/>
      <c r="BG96" s="336"/>
      <c r="BH96" s="336"/>
      <c r="BI96" s="336"/>
      <c r="BJ96" s="336"/>
      <c r="BK96" s="336"/>
      <c r="BL96" s="336"/>
      <c r="BM96" s="336"/>
      <c r="BN96" s="336"/>
      <c r="BO96" s="336"/>
      <c r="BP96" s="336"/>
      <c r="BQ96" s="336"/>
      <c r="BR96" s="336"/>
      <c r="BS96" s="336"/>
      <c r="BT96" s="336"/>
      <c r="BU96" s="336"/>
      <c r="BV96" s="336"/>
      <c r="BW96" s="336"/>
      <c r="BX96" s="336"/>
      <c r="BY96" s="336"/>
      <c r="BZ96" s="336"/>
      <c r="CA96" s="336"/>
      <c r="CB96" s="336"/>
      <c r="CC96" s="336"/>
      <c r="CD96" s="336"/>
      <c r="CE96" s="336"/>
      <c r="CF96" s="336"/>
      <c r="CG96" s="336"/>
      <c r="CH96" s="336"/>
      <c r="CI96" s="336"/>
      <c r="CJ96" s="336"/>
      <c r="CK96" s="336"/>
      <c r="CL96" s="336"/>
      <c r="CM96" s="336"/>
      <c r="CN96" s="336"/>
      <c r="CO96" s="336"/>
      <c r="CP96" s="336"/>
      <c r="CQ96" s="336"/>
      <c r="CR96" s="336"/>
      <c r="CS96" s="336"/>
      <c r="CT96" s="336"/>
      <c r="CU96" s="336"/>
      <c r="CV96" s="336"/>
      <c r="CW96" s="336"/>
      <c r="CX96" s="336"/>
      <c r="CY96" s="336"/>
      <c r="CZ96" s="336"/>
      <c r="DA96" s="336"/>
      <c r="DB96" s="336"/>
      <c r="DC96" s="336"/>
      <c r="DD96" s="336"/>
      <c r="DE96" s="336"/>
      <c r="DF96" s="336"/>
      <c r="DG96" s="336"/>
      <c r="DH96" s="336"/>
      <c r="DI96" s="336"/>
      <c r="DJ96" s="336"/>
      <c r="DK96" s="336"/>
      <c r="DL96" s="336"/>
      <c r="DM96" s="336"/>
      <c r="DN96" s="336"/>
      <c r="DO96" s="336"/>
      <c r="DP96" s="336"/>
      <c r="DQ96" s="336"/>
      <c r="DR96" s="336"/>
      <c r="DS96" s="336"/>
      <c r="DT96" s="336"/>
      <c r="DU96" s="336"/>
      <c r="DV96" s="336"/>
      <c r="DW96" s="336"/>
      <c r="DX96" s="336"/>
      <c r="DY96" s="336"/>
      <c r="DZ96" s="336"/>
      <c r="EA96" s="336"/>
      <c r="EB96" s="336"/>
      <c r="EC96" s="336"/>
      <c r="ED96" s="336"/>
      <c r="EE96" s="336"/>
      <c r="EF96" s="336"/>
      <c r="EG96" s="336"/>
      <c r="EH96" s="336"/>
      <c r="EI96" s="336"/>
      <c r="EJ96" s="336"/>
      <c r="EK96" s="336"/>
      <c r="EL96" s="336"/>
      <c r="EM96" s="336"/>
      <c r="EN96" s="336"/>
      <c r="EO96" s="336"/>
      <c r="EP96" s="336"/>
      <c r="EQ96" s="336"/>
      <c r="ER96" s="336"/>
      <c r="ES96" s="336"/>
      <c r="ET96" s="336"/>
      <c r="EU96" s="336"/>
      <c r="EV96" s="336"/>
      <c r="EW96" s="336"/>
      <c r="EX96" s="336"/>
      <c r="EY96" s="336"/>
      <c r="EZ96" s="336"/>
      <c r="FA96" s="336"/>
      <c r="FB96" s="336"/>
      <c r="FC96" s="336"/>
      <c r="FD96" s="336"/>
      <c r="FE96" s="336"/>
      <c r="FF96" s="336"/>
      <c r="FG96" s="336"/>
      <c r="FH96" s="336"/>
      <c r="FI96" s="336"/>
      <c r="FJ96" s="336"/>
      <c r="FK96" s="336"/>
      <c r="FL96" s="336"/>
      <c r="FM96" s="336"/>
      <c r="FN96" s="336"/>
      <c r="FO96" s="336"/>
      <c r="FP96" s="336"/>
      <c r="FQ96" s="336"/>
      <c r="FR96" s="336"/>
      <c r="FS96" s="336"/>
      <c r="FT96" s="336"/>
      <c r="FU96" s="336"/>
      <c r="FV96" s="336"/>
      <c r="FW96" s="336"/>
      <c r="FX96" s="336"/>
      <c r="FY96" s="336"/>
      <c r="FZ96" s="336"/>
      <c r="GA96" s="336"/>
      <c r="GB96" s="336"/>
      <c r="GC96" s="336"/>
      <c r="GD96" s="336"/>
      <c r="GE96" s="336"/>
      <c r="GF96" s="336"/>
      <c r="GG96" s="336"/>
      <c r="GH96" s="336"/>
      <c r="GI96" s="336"/>
      <c r="GJ96" s="336"/>
      <c r="GK96" s="336"/>
      <c r="GL96" s="336"/>
      <c r="GM96" s="336"/>
      <c r="GN96" s="336"/>
      <c r="GO96" s="336"/>
      <c r="GP96" s="336"/>
      <c r="GQ96" s="336"/>
      <c r="GR96" s="336"/>
      <c r="GS96" s="336"/>
      <c r="GT96" s="336"/>
      <c r="GU96" s="336"/>
      <c r="GV96" s="336"/>
      <c r="GW96" s="336"/>
      <c r="GX96" s="336"/>
      <c r="GY96" s="336"/>
      <c r="GZ96" s="336"/>
      <c r="HA96" s="336"/>
      <c r="HB96" s="336"/>
      <c r="HC96" s="336"/>
      <c r="HD96" s="336"/>
      <c r="HE96" s="336"/>
      <c r="HF96" s="336"/>
      <c r="HG96" s="336"/>
      <c r="HH96" s="336"/>
      <c r="HI96" s="336"/>
      <c r="HJ96" s="336"/>
      <c r="HK96" s="336"/>
      <c r="HL96" s="336"/>
      <c r="HM96" s="336"/>
      <c r="HN96" s="336"/>
      <c r="HO96" s="336"/>
      <c r="HP96" s="336"/>
      <c r="HQ96" s="336"/>
      <c r="HR96" s="336"/>
      <c r="HS96" s="336"/>
      <c r="HT96" s="336"/>
      <c r="HU96" s="336"/>
      <c r="HV96" s="336"/>
      <c r="HW96" s="336"/>
      <c r="HX96" s="336"/>
      <c r="HY96" s="336"/>
      <c r="HZ96" s="336"/>
      <c r="IA96" s="336"/>
      <c r="IB96" s="336"/>
      <c r="IC96" s="336"/>
      <c r="ID96" s="336"/>
      <c r="IE96" s="336"/>
      <c r="IF96" s="336"/>
      <c r="IG96" s="336"/>
      <c r="IH96" s="336"/>
      <c r="II96" s="336"/>
      <c r="IJ96" s="336"/>
      <c r="IK96" s="336"/>
      <c r="IL96" s="336"/>
      <c r="IM96" s="336"/>
      <c r="IN96" s="336"/>
      <c r="IO96" s="336"/>
      <c r="IP96" s="336"/>
      <c r="IQ96" s="336"/>
      <c r="IR96" s="336"/>
      <c r="IS96" s="336"/>
      <c r="IT96" s="336"/>
      <c r="IU96" s="336"/>
      <c r="IV96" s="336"/>
    </row>
    <row r="97" spans="1:256" s="337" customFormat="1" ht="15" customHeight="1">
      <c r="A97" s="318" t="s">
        <v>16</v>
      </c>
      <c r="B97" s="165" t="s">
        <v>301</v>
      </c>
      <c r="C97" s="165" t="s">
        <v>299</v>
      </c>
      <c r="D97" s="165" t="s">
        <v>302</v>
      </c>
      <c r="E97" s="100" t="s">
        <v>299</v>
      </c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336"/>
      <c r="Q97" s="336"/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336"/>
      <c r="AD97" s="336"/>
      <c r="AE97" s="336"/>
      <c r="AF97" s="336"/>
      <c r="AG97" s="336"/>
      <c r="AH97" s="336"/>
      <c r="AI97" s="336"/>
      <c r="AJ97" s="336"/>
      <c r="AK97" s="336"/>
      <c r="AL97" s="336"/>
      <c r="AM97" s="336"/>
      <c r="AN97" s="336"/>
      <c r="AO97" s="336"/>
      <c r="AP97" s="336"/>
      <c r="AQ97" s="336"/>
      <c r="AR97" s="336"/>
      <c r="AS97" s="336"/>
      <c r="AT97" s="336"/>
      <c r="AU97" s="336"/>
      <c r="AV97" s="336"/>
      <c r="AW97" s="336"/>
      <c r="AX97" s="336"/>
      <c r="AY97" s="336"/>
      <c r="AZ97" s="336"/>
      <c r="BA97" s="336"/>
      <c r="BB97" s="336"/>
      <c r="BC97" s="336"/>
      <c r="BD97" s="336"/>
      <c r="BE97" s="336"/>
      <c r="BF97" s="336"/>
      <c r="BG97" s="336"/>
      <c r="BH97" s="336"/>
      <c r="BI97" s="336"/>
      <c r="BJ97" s="336"/>
      <c r="BK97" s="336"/>
      <c r="BL97" s="336"/>
      <c r="BM97" s="336"/>
      <c r="BN97" s="336"/>
      <c r="BO97" s="336"/>
      <c r="BP97" s="336"/>
      <c r="BQ97" s="336"/>
      <c r="BR97" s="336"/>
      <c r="BS97" s="336"/>
      <c r="BT97" s="336"/>
      <c r="BU97" s="336"/>
      <c r="BV97" s="336"/>
      <c r="BW97" s="336"/>
      <c r="BX97" s="336"/>
      <c r="BY97" s="336"/>
      <c r="BZ97" s="336"/>
      <c r="CA97" s="336"/>
      <c r="CB97" s="336"/>
      <c r="CC97" s="336"/>
      <c r="CD97" s="336"/>
      <c r="CE97" s="336"/>
      <c r="CF97" s="336"/>
      <c r="CG97" s="336"/>
      <c r="CH97" s="336"/>
      <c r="CI97" s="336"/>
      <c r="CJ97" s="336"/>
      <c r="CK97" s="336"/>
      <c r="CL97" s="336"/>
      <c r="CM97" s="336"/>
      <c r="CN97" s="336"/>
      <c r="CO97" s="336"/>
      <c r="CP97" s="336"/>
      <c r="CQ97" s="336"/>
      <c r="CR97" s="336"/>
      <c r="CS97" s="336"/>
      <c r="CT97" s="336"/>
      <c r="CU97" s="336"/>
      <c r="CV97" s="336"/>
      <c r="CW97" s="336"/>
      <c r="CX97" s="336"/>
      <c r="CY97" s="336"/>
      <c r="CZ97" s="336"/>
      <c r="DA97" s="336"/>
      <c r="DB97" s="336"/>
      <c r="DC97" s="336"/>
      <c r="DD97" s="336"/>
      <c r="DE97" s="336"/>
      <c r="DF97" s="336"/>
      <c r="DG97" s="336"/>
      <c r="DH97" s="336"/>
      <c r="DI97" s="336"/>
      <c r="DJ97" s="336"/>
      <c r="DK97" s="336"/>
      <c r="DL97" s="336"/>
      <c r="DM97" s="336"/>
      <c r="DN97" s="336"/>
      <c r="DO97" s="336"/>
      <c r="DP97" s="336"/>
      <c r="DQ97" s="336"/>
      <c r="DR97" s="336"/>
      <c r="DS97" s="336"/>
      <c r="DT97" s="336"/>
      <c r="DU97" s="336"/>
      <c r="DV97" s="336"/>
      <c r="DW97" s="336"/>
      <c r="DX97" s="336"/>
      <c r="DY97" s="336"/>
      <c r="DZ97" s="336"/>
      <c r="EA97" s="336"/>
      <c r="EB97" s="336"/>
      <c r="EC97" s="336"/>
      <c r="ED97" s="336"/>
      <c r="EE97" s="336"/>
      <c r="EF97" s="336"/>
      <c r="EG97" s="336"/>
      <c r="EH97" s="336"/>
      <c r="EI97" s="336"/>
      <c r="EJ97" s="336"/>
      <c r="EK97" s="336"/>
      <c r="EL97" s="336"/>
      <c r="EM97" s="336"/>
      <c r="EN97" s="336"/>
      <c r="EO97" s="336"/>
      <c r="EP97" s="336"/>
      <c r="EQ97" s="336"/>
      <c r="ER97" s="336"/>
      <c r="ES97" s="336"/>
      <c r="ET97" s="336"/>
      <c r="EU97" s="336"/>
      <c r="EV97" s="336"/>
      <c r="EW97" s="336"/>
      <c r="EX97" s="336"/>
      <c r="EY97" s="336"/>
      <c r="EZ97" s="336"/>
      <c r="FA97" s="336"/>
      <c r="FB97" s="336"/>
      <c r="FC97" s="336"/>
      <c r="FD97" s="336"/>
      <c r="FE97" s="336"/>
      <c r="FF97" s="336"/>
      <c r="FG97" s="336"/>
      <c r="FH97" s="336"/>
      <c r="FI97" s="336"/>
      <c r="FJ97" s="336"/>
      <c r="FK97" s="336"/>
      <c r="FL97" s="336"/>
      <c r="FM97" s="336"/>
      <c r="FN97" s="336"/>
      <c r="FO97" s="336"/>
      <c r="FP97" s="336"/>
      <c r="FQ97" s="336"/>
      <c r="FR97" s="336"/>
      <c r="FS97" s="336"/>
      <c r="FT97" s="336"/>
      <c r="FU97" s="336"/>
      <c r="FV97" s="336"/>
      <c r="FW97" s="336"/>
      <c r="FX97" s="336"/>
      <c r="FY97" s="336"/>
      <c r="FZ97" s="336"/>
      <c r="GA97" s="336"/>
      <c r="GB97" s="336"/>
      <c r="GC97" s="336"/>
      <c r="GD97" s="336"/>
      <c r="GE97" s="336"/>
      <c r="GF97" s="336"/>
      <c r="GG97" s="336"/>
      <c r="GH97" s="336"/>
      <c r="GI97" s="336"/>
      <c r="GJ97" s="336"/>
      <c r="GK97" s="336"/>
      <c r="GL97" s="336"/>
      <c r="GM97" s="336"/>
      <c r="GN97" s="336"/>
      <c r="GO97" s="336"/>
      <c r="GP97" s="336"/>
      <c r="GQ97" s="336"/>
      <c r="GR97" s="336"/>
      <c r="GS97" s="336"/>
      <c r="GT97" s="336"/>
      <c r="GU97" s="336"/>
      <c r="GV97" s="336"/>
      <c r="GW97" s="336"/>
      <c r="GX97" s="336"/>
      <c r="GY97" s="336"/>
      <c r="GZ97" s="336"/>
      <c r="HA97" s="336"/>
      <c r="HB97" s="336"/>
      <c r="HC97" s="336"/>
      <c r="HD97" s="336"/>
      <c r="HE97" s="336"/>
      <c r="HF97" s="336"/>
      <c r="HG97" s="336"/>
      <c r="HH97" s="336"/>
      <c r="HI97" s="336"/>
      <c r="HJ97" s="336"/>
      <c r="HK97" s="336"/>
      <c r="HL97" s="336"/>
      <c r="HM97" s="336"/>
      <c r="HN97" s="336"/>
      <c r="HO97" s="336"/>
      <c r="HP97" s="336"/>
      <c r="HQ97" s="336"/>
      <c r="HR97" s="336"/>
      <c r="HS97" s="336"/>
      <c r="HT97" s="336"/>
      <c r="HU97" s="336"/>
      <c r="HV97" s="336"/>
      <c r="HW97" s="336"/>
      <c r="HX97" s="336"/>
      <c r="HY97" s="336"/>
      <c r="HZ97" s="336"/>
      <c r="IA97" s="336"/>
      <c r="IB97" s="336"/>
      <c r="IC97" s="336"/>
      <c r="ID97" s="336"/>
      <c r="IE97" s="336"/>
      <c r="IF97" s="336"/>
      <c r="IG97" s="336"/>
      <c r="IH97" s="336"/>
      <c r="II97" s="336"/>
      <c r="IJ97" s="336"/>
      <c r="IK97" s="336"/>
      <c r="IL97" s="336"/>
      <c r="IM97" s="336"/>
      <c r="IN97" s="336"/>
      <c r="IO97" s="336"/>
      <c r="IP97" s="336"/>
      <c r="IQ97" s="336"/>
      <c r="IR97" s="336"/>
      <c r="IS97" s="336"/>
      <c r="IT97" s="336"/>
      <c r="IU97" s="336"/>
      <c r="IV97" s="336"/>
    </row>
    <row r="98" spans="1:256" s="337" customFormat="1" ht="15" customHeight="1" thickBot="1">
      <c r="A98" s="113" t="s">
        <v>40</v>
      </c>
      <c r="B98" s="114" t="s">
        <v>39</v>
      </c>
      <c r="C98" s="316" t="s">
        <v>300</v>
      </c>
      <c r="D98" s="184" t="s">
        <v>40</v>
      </c>
      <c r="E98" s="317" t="s">
        <v>44</v>
      </c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6"/>
      <c r="AU98" s="336"/>
      <c r="AV98" s="336"/>
      <c r="AW98" s="336"/>
      <c r="AX98" s="336"/>
      <c r="AY98" s="336"/>
      <c r="AZ98" s="336"/>
      <c r="BA98" s="336"/>
      <c r="BB98" s="336"/>
      <c r="BC98" s="336"/>
      <c r="BD98" s="336"/>
      <c r="BE98" s="336"/>
      <c r="BF98" s="336"/>
      <c r="BG98" s="336"/>
      <c r="BH98" s="336"/>
      <c r="BI98" s="336"/>
      <c r="BJ98" s="336"/>
      <c r="BK98" s="336"/>
      <c r="BL98" s="336"/>
      <c r="BM98" s="336"/>
      <c r="BN98" s="336"/>
      <c r="BO98" s="336"/>
      <c r="BP98" s="336"/>
      <c r="BQ98" s="336"/>
      <c r="BR98" s="336"/>
      <c r="BS98" s="336"/>
      <c r="BT98" s="336"/>
      <c r="BU98" s="336"/>
      <c r="BV98" s="336"/>
      <c r="BW98" s="336"/>
      <c r="BX98" s="336"/>
      <c r="BY98" s="336"/>
      <c r="BZ98" s="336"/>
      <c r="CA98" s="336"/>
      <c r="CB98" s="336"/>
      <c r="CC98" s="336"/>
      <c r="CD98" s="336"/>
      <c r="CE98" s="336"/>
      <c r="CF98" s="336"/>
      <c r="CG98" s="336"/>
      <c r="CH98" s="336"/>
      <c r="CI98" s="336"/>
      <c r="CJ98" s="336"/>
      <c r="CK98" s="336"/>
      <c r="CL98" s="336"/>
      <c r="CM98" s="336"/>
      <c r="CN98" s="336"/>
      <c r="CO98" s="336"/>
      <c r="CP98" s="336"/>
      <c r="CQ98" s="336"/>
      <c r="CR98" s="336"/>
      <c r="CS98" s="336"/>
      <c r="CT98" s="336"/>
      <c r="CU98" s="336"/>
      <c r="CV98" s="336"/>
      <c r="CW98" s="336"/>
      <c r="CX98" s="336"/>
      <c r="CY98" s="336"/>
      <c r="CZ98" s="336"/>
      <c r="DA98" s="336"/>
      <c r="DB98" s="336"/>
      <c r="DC98" s="336"/>
      <c r="DD98" s="336"/>
      <c r="DE98" s="336"/>
      <c r="DF98" s="336"/>
      <c r="DG98" s="336"/>
      <c r="DH98" s="336"/>
      <c r="DI98" s="336"/>
      <c r="DJ98" s="336"/>
      <c r="DK98" s="336"/>
      <c r="DL98" s="336"/>
      <c r="DM98" s="336"/>
      <c r="DN98" s="336"/>
      <c r="DO98" s="336"/>
      <c r="DP98" s="336"/>
      <c r="DQ98" s="336"/>
      <c r="DR98" s="336"/>
      <c r="DS98" s="336"/>
      <c r="DT98" s="336"/>
      <c r="DU98" s="336"/>
      <c r="DV98" s="336"/>
      <c r="DW98" s="336"/>
      <c r="DX98" s="336"/>
      <c r="DY98" s="336"/>
      <c r="DZ98" s="336"/>
      <c r="EA98" s="336"/>
      <c r="EB98" s="336"/>
      <c r="EC98" s="336"/>
      <c r="ED98" s="336"/>
      <c r="EE98" s="336"/>
      <c r="EF98" s="336"/>
      <c r="EG98" s="336"/>
      <c r="EH98" s="336"/>
      <c r="EI98" s="336"/>
      <c r="EJ98" s="336"/>
      <c r="EK98" s="336"/>
      <c r="EL98" s="336"/>
      <c r="EM98" s="336"/>
      <c r="EN98" s="336"/>
      <c r="EO98" s="336"/>
      <c r="EP98" s="336"/>
      <c r="EQ98" s="336"/>
      <c r="ER98" s="336"/>
      <c r="ES98" s="336"/>
      <c r="ET98" s="336"/>
      <c r="EU98" s="336"/>
      <c r="EV98" s="336"/>
      <c r="EW98" s="336"/>
      <c r="EX98" s="336"/>
      <c r="EY98" s="336"/>
      <c r="EZ98" s="336"/>
      <c r="FA98" s="336"/>
      <c r="FB98" s="336"/>
      <c r="FC98" s="336"/>
      <c r="FD98" s="336"/>
      <c r="FE98" s="336"/>
      <c r="FF98" s="336"/>
      <c r="FG98" s="336"/>
      <c r="FH98" s="336"/>
      <c r="FI98" s="336"/>
      <c r="FJ98" s="336"/>
      <c r="FK98" s="336"/>
      <c r="FL98" s="336"/>
      <c r="FM98" s="336"/>
      <c r="FN98" s="336"/>
      <c r="FO98" s="336"/>
      <c r="FP98" s="336"/>
      <c r="FQ98" s="336"/>
      <c r="FR98" s="336"/>
      <c r="FS98" s="336"/>
      <c r="FT98" s="336"/>
      <c r="FU98" s="336"/>
      <c r="FV98" s="336"/>
      <c r="FW98" s="336"/>
      <c r="FX98" s="336"/>
      <c r="FY98" s="336"/>
      <c r="FZ98" s="336"/>
      <c r="GA98" s="336"/>
      <c r="GB98" s="336"/>
      <c r="GC98" s="336"/>
      <c r="GD98" s="336"/>
      <c r="GE98" s="336"/>
      <c r="GF98" s="336"/>
      <c r="GG98" s="336"/>
      <c r="GH98" s="336"/>
      <c r="GI98" s="336"/>
      <c r="GJ98" s="336"/>
      <c r="GK98" s="336"/>
      <c r="GL98" s="336"/>
      <c r="GM98" s="336"/>
      <c r="GN98" s="336"/>
      <c r="GO98" s="336"/>
      <c r="GP98" s="336"/>
      <c r="GQ98" s="336"/>
      <c r="GR98" s="336"/>
      <c r="GS98" s="336"/>
      <c r="GT98" s="336"/>
      <c r="GU98" s="336"/>
      <c r="GV98" s="336"/>
      <c r="GW98" s="336"/>
      <c r="GX98" s="336"/>
      <c r="GY98" s="336"/>
      <c r="GZ98" s="336"/>
      <c r="HA98" s="336"/>
      <c r="HB98" s="336"/>
      <c r="HC98" s="336"/>
      <c r="HD98" s="336"/>
      <c r="HE98" s="336"/>
      <c r="HF98" s="336"/>
      <c r="HG98" s="336"/>
      <c r="HH98" s="336"/>
      <c r="HI98" s="336"/>
      <c r="HJ98" s="336"/>
      <c r="HK98" s="336"/>
      <c r="HL98" s="336"/>
      <c r="HM98" s="336"/>
      <c r="HN98" s="336"/>
      <c r="HO98" s="336"/>
      <c r="HP98" s="336"/>
      <c r="HQ98" s="336"/>
      <c r="HR98" s="336"/>
      <c r="HS98" s="336"/>
      <c r="HT98" s="336"/>
      <c r="HU98" s="336"/>
      <c r="HV98" s="336"/>
      <c r="HW98" s="336"/>
      <c r="HX98" s="336"/>
      <c r="HY98" s="336"/>
      <c r="HZ98" s="336"/>
      <c r="IA98" s="336"/>
      <c r="IB98" s="336"/>
      <c r="IC98" s="336"/>
      <c r="ID98" s="336"/>
      <c r="IE98" s="336"/>
      <c r="IF98" s="336"/>
      <c r="IG98" s="336"/>
      <c r="IH98" s="336"/>
      <c r="II98" s="336"/>
      <c r="IJ98" s="336"/>
      <c r="IK98" s="336"/>
      <c r="IL98" s="336"/>
      <c r="IM98" s="336"/>
      <c r="IN98" s="336"/>
      <c r="IO98" s="336"/>
      <c r="IP98" s="336"/>
      <c r="IQ98" s="336"/>
      <c r="IR98" s="336"/>
      <c r="IS98" s="336"/>
      <c r="IT98" s="336"/>
      <c r="IU98" s="336"/>
      <c r="IV98" s="336"/>
    </row>
    <row r="99" spans="1:256" s="337" customFormat="1" ht="15" customHeight="1" thickTop="1" thickBot="1">
      <c r="A99" s="19">
        <v>55</v>
      </c>
      <c r="B99" s="4">
        <v>615</v>
      </c>
      <c r="C99" s="4">
        <v>830</v>
      </c>
      <c r="D99" s="11">
        <f>B99/(+A99*A99)*(4/0.0031415)</f>
        <v>258.86459987135692</v>
      </c>
      <c r="E99" s="63">
        <f>C99/(+A99*A99)*(4/0.0031415)</f>
        <v>349.361980314189</v>
      </c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6"/>
      <c r="AW99" s="336"/>
      <c r="AX99" s="336"/>
      <c r="AY99" s="336"/>
      <c r="AZ99" s="336"/>
      <c r="BA99" s="336"/>
      <c r="BB99" s="336"/>
      <c r="BC99" s="336"/>
      <c r="BD99" s="336"/>
      <c r="BE99" s="336"/>
      <c r="BF99" s="336"/>
      <c r="BG99" s="336"/>
      <c r="BH99" s="336"/>
      <c r="BI99" s="336"/>
      <c r="BJ99" s="336"/>
      <c r="BK99" s="336"/>
      <c r="BL99" s="336"/>
      <c r="BM99" s="336"/>
      <c r="BN99" s="336"/>
      <c r="BO99" s="336"/>
      <c r="BP99" s="336"/>
      <c r="BQ99" s="336"/>
      <c r="BR99" s="336"/>
      <c r="BS99" s="336"/>
      <c r="BT99" s="336"/>
      <c r="BU99" s="336"/>
      <c r="BV99" s="336"/>
      <c r="BW99" s="336"/>
      <c r="BX99" s="336"/>
      <c r="BY99" s="336"/>
      <c r="BZ99" s="336"/>
      <c r="CA99" s="336"/>
      <c r="CB99" s="336"/>
      <c r="CC99" s="336"/>
      <c r="CD99" s="336"/>
      <c r="CE99" s="336"/>
      <c r="CF99" s="336"/>
      <c r="CG99" s="336"/>
      <c r="CH99" s="336"/>
      <c r="CI99" s="336"/>
      <c r="CJ99" s="336"/>
      <c r="CK99" s="336"/>
      <c r="CL99" s="336"/>
      <c r="CM99" s="336"/>
      <c r="CN99" s="336"/>
      <c r="CO99" s="336"/>
      <c r="CP99" s="336"/>
      <c r="CQ99" s="336"/>
      <c r="CR99" s="336"/>
      <c r="CS99" s="336"/>
      <c r="CT99" s="336"/>
      <c r="CU99" s="336"/>
      <c r="CV99" s="336"/>
      <c r="CW99" s="336"/>
      <c r="CX99" s="336"/>
      <c r="CY99" s="336"/>
      <c r="CZ99" s="336"/>
      <c r="DA99" s="336"/>
      <c r="DB99" s="336"/>
      <c r="DC99" s="336"/>
      <c r="DD99" s="336"/>
      <c r="DE99" s="336"/>
      <c r="DF99" s="336"/>
      <c r="DG99" s="336"/>
      <c r="DH99" s="336"/>
      <c r="DI99" s="336"/>
      <c r="DJ99" s="336"/>
      <c r="DK99" s="336"/>
      <c r="DL99" s="336"/>
      <c r="DM99" s="336"/>
      <c r="DN99" s="336"/>
      <c r="DO99" s="336"/>
      <c r="DP99" s="336"/>
      <c r="DQ99" s="336"/>
      <c r="DR99" s="336"/>
      <c r="DS99" s="336"/>
      <c r="DT99" s="336"/>
      <c r="DU99" s="336"/>
      <c r="DV99" s="336"/>
      <c r="DW99" s="336"/>
      <c r="DX99" s="336"/>
      <c r="DY99" s="336"/>
      <c r="DZ99" s="336"/>
      <c r="EA99" s="336"/>
      <c r="EB99" s="336"/>
      <c r="EC99" s="336"/>
      <c r="ED99" s="336"/>
      <c r="EE99" s="336"/>
      <c r="EF99" s="336"/>
      <c r="EG99" s="336"/>
      <c r="EH99" s="336"/>
      <c r="EI99" s="336"/>
      <c r="EJ99" s="336"/>
      <c r="EK99" s="336"/>
      <c r="EL99" s="336"/>
      <c r="EM99" s="336"/>
      <c r="EN99" s="336"/>
      <c r="EO99" s="336"/>
      <c r="EP99" s="336"/>
      <c r="EQ99" s="336"/>
      <c r="ER99" s="336"/>
      <c r="ES99" s="336"/>
      <c r="ET99" s="336"/>
      <c r="EU99" s="336"/>
      <c r="EV99" s="336"/>
      <c r="EW99" s="336"/>
      <c r="EX99" s="336"/>
      <c r="EY99" s="336"/>
      <c r="EZ99" s="336"/>
      <c r="FA99" s="336"/>
      <c r="FB99" s="336"/>
      <c r="FC99" s="336"/>
      <c r="FD99" s="336"/>
      <c r="FE99" s="336"/>
      <c r="FF99" s="336"/>
      <c r="FG99" s="336"/>
      <c r="FH99" s="336"/>
      <c r="FI99" s="336"/>
      <c r="FJ99" s="336"/>
      <c r="FK99" s="336"/>
      <c r="FL99" s="336"/>
      <c r="FM99" s="336"/>
      <c r="FN99" s="336"/>
      <c r="FO99" s="336"/>
      <c r="FP99" s="336"/>
      <c r="FQ99" s="336"/>
      <c r="FR99" s="336"/>
      <c r="FS99" s="336"/>
      <c r="FT99" s="336"/>
      <c r="FU99" s="336"/>
      <c r="FV99" s="336"/>
      <c r="FW99" s="336"/>
      <c r="FX99" s="336"/>
      <c r="FY99" s="336"/>
      <c r="FZ99" s="336"/>
      <c r="GA99" s="336"/>
      <c r="GB99" s="336"/>
      <c r="GC99" s="336"/>
      <c r="GD99" s="336"/>
      <c r="GE99" s="336"/>
      <c r="GF99" s="336"/>
      <c r="GG99" s="336"/>
      <c r="GH99" s="336"/>
      <c r="GI99" s="336"/>
      <c r="GJ99" s="336"/>
      <c r="GK99" s="336"/>
      <c r="GL99" s="336"/>
      <c r="GM99" s="336"/>
      <c r="GN99" s="336"/>
      <c r="GO99" s="336"/>
      <c r="GP99" s="336"/>
      <c r="GQ99" s="336"/>
      <c r="GR99" s="336"/>
      <c r="GS99" s="336"/>
      <c r="GT99" s="336"/>
      <c r="GU99" s="336"/>
      <c r="GV99" s="336"/>
      <c r="GW99" s="336"/>
      <c r="GX99" s="336"/>
      <c r="GY99" s="336"/>
      <c r="GZ99" s="336"/>
      <c r="HA99" s="336"/>
      <c r="HB99" s="336"/>
      <c r="HC99" s="336"/>
      <c r="HD99" s="336"/>
      <c r="HE99" s="336"/>
      <c r="HF99" s="336"/>
      <c r="HG99" s="336"/>
      <c r="HH99" s="336"/>
      <c r="HI99" s="336"/>
      <c r="HJ99" s="336"/>
      <c r="HK99" s="336"/>
      <c r="HL99" s="336"/>
      <c r="HM99" s="336"/>
      <c r="HN99" s="336"/>
      <c r="HO99" s="336"/>
      <c r="HP99" s="336"/>
      <c r="HQ99" s="336"/>
      <c r="HR99" s="336"/>
      <c r="HS99" s="336"/>
      <c r="HT99" s="336"/>
      <c r="HU99" s="336"/>
      <c r="HV99" s="336"/>
      <c r="HW99" s="336"/>
      <c r="HX99" s="336"/>
      <c r="HY99" s="336"/>
      <c r="HZ99" s="336"/>
      <c r="IA99" s="336"/>
      <c r="IB99" s="336"/>
      <c r="IC99" s="336"/>
      <c r="ID99" s="336"/>
      <c r="IE99" s="336"/>
      <c r="IF99" s="336"/>
      <c r="IG99" s="336"/>
      <c r="IH99" s="336"/>
      <c r="II99" s="336"/>
      <c r="IJ99" s="336"/>
      <c r="IK99" s="336"/>
      <c r="IL99" s="336"/>
      <c r="IM99" s="336"/>
      <c r="IN99" s="336"/>
      <c r="IO99" s="336"/>
      <c r="IP99" s="336"/>
      <c r="IQ99" s="336"/>
      <c r="IR99" s="336"/>
      <c r="IS99" s="336"/>
      <c r="IT99" s="336"/>
      <c r="IU99" s="336"/>
      <c r="IV99" s="336"/>
    </row>
    <row r="100" spans="1:256" s="337" customFormat="1" ht="15" customHeight="1" thickTop="1" thickBot="1">
      <c r="A100" s="19">
        <v>55</v>
      </c>
      <c r="B100" s="4">
        <v>615</v>
      </c>
      <c r="C100" s="4">
        <v>2500</v>
      </c>
      <c r="D100" s="11">
        <f>B100/(+A100*A100)*(4/0.0031415)</f>
        <v>258.86459987135692</v>
      </c>
      <c r="E100" s="63">
        <f>C100/(+A100*A100)*(4/0.0031415)</f>
        <v>1052.2951214282803</v>
      </c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6"/>
      <c r="Z100" s="336"/>
      <c r="AA100" s="336"/>
      <c r="AB100" s="336"/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6"/>
      <c r="AU100" s="336"/>
      <c r="AV100" s="336"/>
      <c r="AW100" s="336"/>
      <c r="AX100" s="336"/>
      <c r="AY100" s="336"/>
      <c r="AZ100" s="336"/>
      <c r="BA100" s="336"/>
      <c r="BB100" s="336"/>
      <c r="BC100" s="336"/>
      <c r="BD100" s="336"/>
      <c r="BE100" s="336"/>
      <c r="BF100" s="336"/>
      <c r="BG100" s="336"/>
      <c r="BH100" s="336"/>
      <c r="BI100" s="336"/>
      <c r="BJ100" s="336"/>
      <c r="BK100" s="336"/>
      <c r="BL100" s="336"/>
      <c r="BM100" s="336"/>
      <c r="BN100" s="336"/>
      <c r="BO100" s="336"/>
      <c r="BP100" s="336"/>
      <c r="BQ100" s="336"/>
      <c r="BR100" s="336"/>
      <c r="BS100" s="336"/>
      <c r="BT100" s="336"/>
      <c r="BU100" s="336"/>
      <c r="BV100" s="336"/>
      <c r="BW100" s="336"/>
      <c r="BX100" s="336"/>
      <c r="BY100" s="336"/>
      <c r="BZ100" s="336"/>
      <c r="CA100" s="336"/>
      <c r="CB100" s="336"/>
      <c r="CC100" s="336"/>
      <c r="CD100" s="336"/>
      <c r="CE100" s="336"/>
      <c r="CF100" s="336"/>
      <c r="CG100" s="336"/>
      <c r="CH100" s="336"/>
      <c r="CI100" s="336"/>
      <c r="CJ100" s="336"/>
      <c r="CK100" s="336"/>
      <c r="CL100" s="336"/>
      <c r="CM100" s="336"/>
      <c r="CN100" s="336"/>
      <c r="CO100" s="336"/>
      <c r="CP100" s="336"/>
      <c r="CQ100" s="336"/>
      <c r="CR100" s="336"/>
      <c r="CS100" s="336"/>
      <c r="CT100" s="336"/>
      <c r="CU100" s="336"/>
      <c r="CV100" s="336"/>
      <c r="CW100" s="336"/>
      <c r="CX100" s="336"/>
      <c r="CY100" s="336"/>
      <c r="CZ100" s="336"/>
      <c r="DA100" s="336"/>
      <c r="DB100" s="336"/>
      <c r="DC100" s="336"/>
      <c r="DD100" s="336"/>
      <c r="DE100" s="336"/>
      <c r="DF100" s="336"/>
      <c r="DG100" s="336"/>
      <c r="DH100" s="336"/>
      <c r="DI100" s="336"/>
      <c r="DJ100" s="336"/>
      <c r="DK100" s="336"/>
      <c r="DL100" s="336"/>
      <c r="DM100" s="336"/>
      <c r="DN100" s="336"/>
      <c r="DO100" s="336"/>
      <c r="DP100" s="336"/>
      <c r="DQ100" s="336"/>
      <c r="DR100" s="336"/>
      <c r="DS100" s="336"/>
      <c r="DT100" s="336"/>
      <c r="DU100" s="336"/>
      <c r="DV100" s="336"/>
      <c r="DW100" s="336"/>
      <c r="DX100" s="336"/>
      <c r="DY100" s="336"/>
      <c r="DZ100" s="336"/>
      <c r="EA100" s="336"/>
      <c r="EB100" s="336"/>
      <c r="EC100" s="336"/>
      <c r="ED100" s="336"/>
      <c r="EE100" s="336"/>
      <c r="EF100" s="336"/>
      <c r="EG100" s="336"/>
      <c r="EH100" s="336"/>
      <c r="EI100" s="336"/>
      <c r="EJ100" s="336"/>
      <c r="EK100" s="336"/>
      <c r="EL100" s="336"/>
      <c r="EM100" s="336"/>
      <c r="EN100" s="336"/>
      <c r="EO100" s="336"/>
      <c r="EP100" s="336"/>
      <c r="EQ100" s="336"/>
      <c r="ER100" s="336"/>
      <c r="ES100" s="336"/>
      <c r="ET100" s="336"/>
      <c r="EU100" s="336"/>
      <c r="EV100" s="336"/>
      <c r="EW100" s="336"/>
      <c r="EX100" s="336"/>
      <c r="EY100" s="336"/>
      <c r="EZ100" s="336"/>
      <c r="FA100" s="336"/>
      <c r="FB100" s="336"/>
      <c r="FC100" s="336"/>
      <c r="FD100" s="336"/>
      <c r="FE100" s="336"/>
      <c r="FF100" s="336"/>
      <c r="FG100" s="336"/>
      <c r="FH100" s="336"/>
      <c r="FI100" s="336"/>
      <c r="FJ100" s="336"/>
      <c r="FK100" s="336"/>
      <c r="FL100" s="336"/>
      <c r="FM100" s="336"/>
      <c r="FN100" s="336"/>
      <c r="FO100" s="336"/>
      <c r="FP100" s="336"/>
      <c r="FQ100" s="336"/>
      <c r="FR100" s="336"/>
      <c r="FS100" s="336"/>
      <c r="FT100" s="336"/>
      <c r="FU100" s="336"/>
      <c r="FV100" s="336"/>
      <c r="FW100" s="336"/>
      <c r="FX100" s="336"/>
      <c r="FY100" s="336"/>
      <c r="FZ100" s="336"/>
      <c r="GA100" s="336"/>
      <c r="GB100" s="336"/>
      <c r="GC100" s="336"/>
      <c r="GD100" s="336"/>
      <c r="GE100" s="336"/>
      <c r="GF100" s="336"/>
      <c r="GG100" s="336"/>
      <c r="GH100" s="336"/>
      <c r="GI100" s="336"/>
      <c r="GJ100" s="336"/>
      <c r="GK100" s="336"/>
      <c r="GL100" s="336"/>
      <c r="GM100" s="336"/>
      <c r="GN100" s="336"/>
      <c r="GO100" s="336"/>
      <c r="GP100" s="336"/>
      <c r="GQ100" s="336"/>
      <c r="GR100" s="336"/>
      <c r="GS100" s="336"/>
      <c r="GT100" s="336"/>
      <c r="GU100" s="336"/>
      <c r="GV100" s="336"/>
      <c r="GW100" s="336"/>
      <c r="GX100" s="336"/>
      <c r="GY100" s="336"/>
      <c r="GZ100" s="336"/>
      <c r="HA100" s="336"/>
      <c r="HB100" s="336"/>
      <c r="HC100" s="336"/>
      <c r="HD100" s="336"/>
      <c r="HE100" s="336"/>
      <c r="HF100" s="336"/>
      <c r="HG100" s="336"/>
      <c r="HH100" s="336"/>
      <c r="HI100" s="336"/>
      <c r="HJ100" s="336"/>
      <c r="HK100" s="336"/>
      <c r="HL100" s="336"/>
      <c r="HM100" s="336"/>
      <c r="HN100" s="336"/>
      <c r="HO100" s="336"/>
      <c r="HP100" s="336"/>
      <c r="HQ100" s="336"/>
      <c r="HR100" s="336"/>
      <c r="HS100" s="336"/>
      <c r="HT100" s="336"/>
      <c r="HU100" s="336"/>
      <c r="HV100" s="336"/>
      <c r="HW100" s="336"/>
      <c r="HX100" s="336"/>
      <c r="HY100" s="336"/>
      <c r="HZ100" s="336"/>
      <c r="IA100" s="336"/>
      <c r="IB100" s="336"/>
      <c r="IC100" s="336"/>
      <c r="ID100" s="336"/>
      <c r="IE100" s="336"/>
      <c r="IF100" s="336"/>
      <c r="IG100" s="336"/>
      <c r="IH100" s="336"/>
      <c r="II100" s="336"/>
      <c r="IJ100" s="336"/>
      <c r="IK100" s="336"/>
      <c r="IL100" s="336"/>
      <c r="IM100" s="336"/>
      <c r="IN100" s="336"/>
      <c r="IO100" s="336"/>
      <c r="IP100" s="336"/>
      <c r="IQ100" s="336"/>
      <c r="IR100" s="336"/>
      <c r="IS100" s="336"/>
      <c r="IT100" s="336"/>
      <c r="IU100" s="336"/>
      <c r="IV100" s="336"/>
    </row>
    <row r="101" spans="1:256" s="337" customFormat="1" ht="15" customHeight="1" thickTop="1" thickBot="1">
      <c r="A101" s="248"/>
      <c r="B101" s="248"/>
      <c r="C101" s="238"/>
      <c r="D101" s="239"/>
      <c r="E101" s="238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336"/>
      <c r="BG101" s="336"/>
      <c r="BH101" s="336"/>
      <c r="BI101" s="336"/>
      <c r="BJ101" s="336"/>
      <c r="BK101" s="336"/>
      <c r="BL101" s="336"/>
      <c r="BM101" s="336"/>
      <c r="BN101" s="336"/>
      <c r="BO101" s="336"/>
      <c r="BP101" s="336"/>
      <c r="BQ101" s="336"/>
      <c r="BR101" s="336"/>
      <c r="BS101" s="336"/>
      <c r="BT101" s="336"/>
      <c r="BU101" s="336"/>
      <c r="BV101" s="336"/>
      <c r="BW101" s="336"/>
      <c r="BX101" s="336"/>
      <c r="BY101" s="336"/>
      <c r="BZ101" s="336"/>
      <c r="CA101" s="336"/>
      <c r="CB101" s="336"/>
      <c r="CC101" s="336"/>
      <c r="CD101" s="336"/>
      <c r="CE101" s="336"/>
      <c r="CF101" s="336"/>
      <c r="CG101" s="336"/>
      <c r="CH101" s="336"/>
      <c r="CI101" s="336"/>
      <c r="CJ101" s="336"/>
      <c r="CK101" s="336"/>
      <c r="CL101" s="336"/>
      <c r="CM101" s="336"/>
      <c r="CN101" s="336"/>
      <c r="CO101" s="336"/>
      <c r="CP101" s="336"/>
      <c r="CQ101" s="336"/>
      <c r="CR101" s="336"/>
      <c r="CS101" s="336"/>
      <c r="CT101" s="336"/>
      <c r="CU101" s="336"/>
      <c r="CV101" s="336"/>
      <c r="CW101" s="336"/>
      <c r="CX101" s="336"/>
      <c r="CY101" s="336"/>
      <c r="CZ101" s="336"/>
      <c r="DA101" s="336"/>
      <c r="DB101" s="336"/>
      <c r="DC101" s="336"/>
      <c r="DD101" s="336"/>
      <c r="DE101" s="336"/>
      <c r="DF101" s="336"/>
      <c r="DG101" s="336"/>
      <c r="DH101" s="336"/>
      <c r="DI101" s="336"/>
      <c r="DJ101" s="336"/>
      <c r="DK101" s="336"/>
      <c r="DL101" s="336"/>
      <c r="DM101" s="336"/>
      <c r="DN101" s="336"/>
      <c r="DO101" s="336"/>
      <c r="DP101" s="336"/>
      <c r="DQ101" s="336"/>
      <c r="DR101" s="336"/>
      <c r="DS101" s="336"/>
      <c r="DT101" s="336"/>
      <c r="DU101" s="336"/>
      <c r="DV101" s="336"/>
      <c r="DW101" s="336"/>
      <c r="DX101" s="336"/>
      <c r="DY101" s="336"/>
      <c r="DZ101" s="336"/>
      <c r="EA101" s="336"/>
      <c r="EB101" s="336"/>
      <c r="EC101" s="336"/>
      <c r="ED101" s="336"/>
      <c r="EE101" s="336"/>
      <c r="EF101" s="336"/>
      <c r="EG101" s="336"/>
      <c r="EH101" s="336"/>
      <c r="EI101" s="336"/>
      <c r="EJ101" s="336"/>
      <c r="EK101" s="336"/>
      <c r="EL101" s="336"/>
      <c r="EM101" s="336"/>
      <c r="EN101" s="336"/>
      <c r="EO101" s="336"/>
      <c r="EP101" s="336"/>
      <c r="EQ101" s="336"/>
      <c r="ER101" s="336"/>
      <c r="ES101" s="336"/>
      <c r="ET101" s="336"/>
      <c r="EU101" s="336"/>
      <c r="EV101" s="336"/>
      <c r="EW101" s="336"/>
      <c r="EX101" s="336"/>
      <c r="EY101" s="336"/>
      <c r="EZ101" s="336"/>
      <c r="FA101" s="336"/>
      <c r="FB101" s="336"/>
      <c r="FC101" s="336"/>
      <c r="FD101" s="336"/>
      <c r="FE101" s="336"/>
      <c r="FF101" s="336"/>
      <c r="FG101" s="336"/>
      <c r="FH101" s="336"/>
      <c r="FI101" s="336"/>
      <c r="FJ101" s="336"/>
      <c r="FK101" s="336"/>
      <c r="FL101" s="336"/>
      <c r="FM101" s="336"/>
      <c r="FN101" s="336"/>
      <c r="FO101" s="336"/>
      <c r="FP101" s="336"/>
      <c r="FQ101" s="336"/>
      <c r="FR101" s="336"/>
      <c r="FS101" s="336"/>
      <c r="FT101" s="336"/>
      <c r="FU101" s="336"/>
      <c r="FV101" s="336"/>
      <c r="FW101" s="336"/>
      <c r="FX101" s="336"/>
      <c r="FY101" s="336"/>
      <c r="FZ101" s="336"/>
      <c r="GA101" s="336"/>
      <c r="GB101" s="336"/>
      <c r="GC101" s="336"/>
      <c r="GD101" s="336"/>
      <c r="GE101" s="336"/>
      <c r="GF101" s="336"/>
      <c r="GG101" s="336"/>
      <c r="GH101" s="336"/>
      <c r="GI101" s="336"/>
      <c r="GJ101" s="336"/>
      <c r="GK101" s="336"/>
      <c r="GL101" s="336"/>
      <c r="GM101" s="336"/>
      <c r="GN101" s="336"/>
      <c r="GO101" s="336"/>
      <c r="GP101" s="336"/>
      <c r="GQ101" s="336"/>
      <c r="GR101" s="336"/>
      <c r="GS101" s="336"/>
      <c r="GT101" s="336"/>
      <c r="GU101" s="336"/>
      <c r="GV101" s="336"/>
      <c r="GW101" s="336"/>
      <c r="GX101" s="336"/>
      <c r="GY101" s="336"/>
      <c r="GZ101" s="336"/>
      <c r="HA101" s="336"/>
      <c r="HB101" s="336"/>
      <c r="HC101" s="336"/>
      <c r="HD101" s="336"/>
      <c r="HE101" s="336"/>
      <c r="HF101" s="336"/>
      <c r="HG101" s="336"/>
      <c r="HH101" s="336"/>
      <c r="HI101" s="336"/>
      <c r="HJ101" s="336"/>
      <c r="HK101" s="336"/>
      <c r="HL101" s="336"/>
      <c r="HM101" s="336"/>
      <c r="HN101" s="336"/>
      <c r="HO101" s="336"/>
      <c r="HP101" s="336"/>
      <c r="HQ101" s="336"/>
      <c r="HR101" s="336"/>
      <c r="HS101" s="336"/>
      <c r="HT101" s="336"/>
      <c r="HU101" s="336"/>
      <c r="HV101" s="336"/>
      <c r="HW101" s="336"/>
      <c r="HX101" s="336"/>
      <c r="HY101" s="336"/>
      <c r="HZ101" s="336"/>
      <c r="IA101" s="336"/>
      <c r="IB101" s="336"/>
      <c r="IC101" s="336"/>
      <c r="ID101" s="336"/>
      <c r="IE101" s="336"/>
      <c r="IF101" s="336"/>
      <c r="IG101" s="336"/>
      <c r="IH101" s="336"/>
      <c r="II101" s="336"/>
      <c r="IJ101" s="336"/>
      <c r="IK101" s="336"/>
      <c r="IL101" s="336"/>
      <c r="IM101" s="336"/>
      <c r="IN101" s="336"/>
      <c r="IO101" s="336"/>
      <c r="IP101" s="336"/>
      <c r="IQ101" s="336"/>
      <c r="IR101" s="336"/>
      <c r="IS101" s="336"/>
      <c r="IT101" s="336"/>
      <c r="IU101" s="336"/>
      <c r="IV101" s="336"/>
    </row>
    <row r="102" spans="1:256" ht="15" customHeight="1" thickTop="1">
      <c r="A102" s="176" t="s">
        <v>303</v>
      </c>
      <c r="B102" s="177"/>
      <c r="C102" s="178"/>
      <c r="D102" s="110"/>
      <c r="E102" s="178"/>
      <c r="F102" s="111"/>
      <c r="G102" s="111"/>
      <c r="H102" s="111"/>
      <c r="I102" s="141"/>
      <c r="J102" s="217"/>
      <c r="K102" s="217"/>
      <c r="L102" s="217"/>
      <c r="M102" s="217"/>
      <c r="N102" s="217"/>
      <c r="O102" s="217"/>
    </row>
    <row r="103" spans="1:256" ht="15" customHeight="1">
      <c r="A103" s="179" t="s">
        <v>159</v>
      </c>
      <c r="B103" s="180" t="s">
        <v>79</v>
      </c>
      <c r="C103" s="181" t="s">
        <v>53</v>
      </c>
      <c r="D103" s="165" t="s">
        <v>49</v>
      </c>
      <c r="E103" s="181" t="s">
        <v>16</v>
      </c>
      <c r="F103" s="165" t="s">
        <v>105</v>
      </c>
      <c r="G103" s="165" t="s">
        <v>106</v>
      </c>
      <c r="H103" s="165" t="s">
        <v>106</v>
      </c>
      <c r="I103" s="100" t="s">
        <v>106</v>
      </c>
      <c r="J103" s="217"/>
      <c r="K103" s="217"/>
      <c r="L103" s="217"/>
      <c r="M103" s="217"/>
      <c r="N103" s="217"/>
      <c r="O103" s="217"/>
    </row>
    <row r="104" spans="1:256" ht="15" customHeight="1" thickBot="1">
      <c r="A104" s="182" t="s">
        <v>43</v>
      </c>
      <c r="B104" s="183" t="s">
        <v>42</v>
      </c>
      <c r="C104" s="184" t="s">
        <v>41</v>
      </c>
      <c r="D104" s="114" t="s">
        <v>39</v>
      </c>
      <c r="E104" s="114" t="s">
        <v>40</v>
      </c>
      <c r="F104" s="184" t="s">
        <v>40</v>
      </c>
      <c r="G104" s="316" t="s">
        <v>13</v>
      </c>
      <c r="H104" s="316" t="s">
        <v>300</v>
      </c>
      <c r="I104" s="185" t="s">
        <v>44</v>
      </c>
      <c r="J104" s="217"/>
      <c r="K104" s="217"/>
      <c r="L104" s="217"/>
      <c r="M104" s="217"/>
      <c r="N104" s="217"/>
      <c r="O104" s="217"/>
    </row>
    <row r="105" spans="1:256" ht="15" customHeight="1" thickTop="1" thickBot="1">
      <c r="A105" s="14">
        <v>0.5</v>
      </c>
      <c r="B105" s="4">
        <v>120</v>
      </c>
      <c r="C105" s="4">
        <v>0.73</v>
      </c>
      <c r="D105" s="15">
        <f>+B105/C105</f>
        <v>164.38356164383563</v>
      </c>
      <c r="E105" s="4">
        <v>55</v>
      </c>
      <c r="F105" s="11">
        <f>+D105/(+E105*E105)*(4/0.0031415)</f>
        <v>69.192007984325272</v>
      </c>
      <c r="G105" s="11">
        <f>+B105/A105</f>
        <v>240</v>
      </c>
      <c r="H105" s="11">
        <f>+D105/A105</f>
        <v>328.76712328767127</v>
      </c>
      <c r="I105" s="9">
        <f>+F105/A105</f>
        <v>138.38401596865054</v>
      </c>
      <c r="J105" s="217"/>
      <c r="K105" s="217"/>
      <c r="L105" s="217"/>
      <c r="M105" s="217"/>
      <c r="N105" s="217"/>
      <c r="O105" s="217"/>
    </row>
    <row r="106" spans="1:256" ht="15" customHeight="1" thickTop="1" thickBot="1">
      <c r="A106" s="16">
        <f>+B106/G106</f>
        <v>0.5</v>
      </c>
      <c r="B106" s="4">
        <v>120</v>
      </c>
      <c r="C106" s="4">
        <v>0.73</v>
      </c>
      <c r="D106" s="15">
        <f t="shared" ref="D106:D107" si="1">+B106/C106</f>
        <v>164.38356164383563</v>
      </c>
      <c r="E106" s="4">
        <v>55</v>
      </c>
      <c r="F106" s="11">
        <f t="shared" ref="F106:F107" si="2">+D106/(+E106*E106)*(4/0.0031415)</f>
        <v>69.192007984325272</v>
      </c>
      <c r="G106" s="4">
        <v>240</v>
      </c>
      <c r="H106" s="11">
        <f t="shared" ref="H106" si="3">+D106/A106</f>
        <v>328.76712328767127</v>
      </c>
      <c r="I106" s="9">
        <f t="shared" ref="I106:I107" si="4">+F106/A106</f>
        <v>138.38401596865054</v>
      </c>
      <c r="J106" s="217"/>
      <c r="K106" s="217"/>
      <c r="L106" s="217"/>
      <c r="M106" s="217"/>
      <c r="N106" s="217"/>
      <c r="O106" s="217"/>
    </row>
    <row r="107" spans="1:256" ht="15" customHeight="1" thickTop="1" thickBot="1">
      <c r="A107" s="16">
        <f>+D107/H107</f>
        <v>0.49964608402381649</v>
      </c>
      <c r="B107" s="4">
        <v>120</v>
      </c>
      <c r="C107" s="4">
        <v>0.73</v>
      </c>
      <c r="D107" s="15">
        <f t="shared" si="1"/>
        <v>164.38356164383563</v>
      </c>
      <c r="E107" s="4">
        <v>55</v>
      </c>
      <c r="F107" s="11">
        <f t="shared" si="2"/>
        <v>69.192007984325272</v>
      </c>
      <c r="G107" s="11">
        <f t="shared" ref="G107" si="5">+B107/A107</f>
        <v>240.17</v>
      </c>
      <c r="H107" s="4">
        <v>329</v>
      </c>
      <c r="I107" s="9">
        <f t="shared" si="4"/>
        <v>138.48203797996166</v>
      </c>
      <c r="J107" s="217"/>
      <c r="K107" s="217"/>
      <c r="L107" s="217"/>
      <c r="M107" s="217"/>
      <c r="N107" s="217"/>
      <c r="O107" s="217"/>
    </row>
    <row r="108" spans="1:256" ht="15" customHeight="1" thickTop="1" thickBot="1">
      <c r="A108" s="16">
        <f>+F108/I108</f>
        <v>0.49994225422200339</v>
      </c>
      <c r="B108" s="4">
        <v>120</v>
      </c>
      <c r="C108" s="4">
        <v>0.73</v>
      </c>
      <c r="D108" s="15">
        <f>+B108/C108</f>
        <v>164.38356164383563</v>
      </c>
      <c r="E108" s="4">
        <v>55</v>
      </c>
      <c r="F108" s="11">
        <f>+D108/(+E108*E108)*(4/0.0031415)</f>
        <v>69.192007984325272</v>
      </c>
      <c r="G108" s="11">
        <f>+B108/A108</f>
        <v>240.02772117500001</v>
      </c>
      <c r="H108" s="11">
        <f>+D108/A108</f>
        <v>328.80509750000004</v>
      </c>
      <c r="I108" s="7">
        <v>138.4</v>
      </c>
      <c r="J108" s="217"/>
      <c r="K108" s="217"/>
      <c r="L108" s="217"/>
      <c r="M108" s="217"/>
      <c r="N108" s="217"/>
      <c r="O108" s="217"/>
    </row>
    <row r="109" spans="1:256" ht="15" customHeight="1" thickTop="1" thickBot="1">
      <c r="A109" s="253"/>
      <c r="B109" s="220"/>
      <c r="C109" s="220"/>
      <c r="D109" s="249"/>
      <c r="E109" s="251"/>
      <c r="F109" s="250"/>
      <c r="G109" s="252"/>
      <c r="H109" s="217"/>
      <c r="I109" s="217"/>
      <c r="J109" s="217"/>
      <c r="K109" s="217"/>
      <c r="L109" s="217"/>
      <c r="M109" s="217"/>
      <c r="N109" s="217"/>
      <c r="O109" s="217"/>
    </row>
    <row r="110" spans="1:256" ht="15" customHeight="1" thickTop="1">
      <c r="A110" s="135" t="s">
        <v>14</v>
      </c>
      <c r="B110" s="140"/>
      <c r="C110" s="175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</row>
    <row r="111" spans="1:256" ht="15" customHeight="1">
      <c r="A111" s="166" t="s">
        <v>103</v>
      </c>
      <c r="B111" s="167" t="s">
        <v>104</v>
      </c>
      <c r="C111" s="169" t="s">
        <v>66</v>
      </c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</row>
    <row r="112" spans="1:256" ht="15" customHeight="1" thickBot="1">
      <c r="A112" s="113" t="s">
        <v>15</v>
      </c>
      <c r="B112" s="114" t="s">
        <v>40</v>
      </c>
      <c r="C112" s="117" t="s">
        <v>2</v>
      </c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</row>
    <row r="113" spans="1:256" ht="15" customHeight="1" thickTop="1" thickBot="1">
      <c r="A113" s="3">
        <f>0.0523*B113*C113</f>
        <v>653.74999999999989</v>
      </c>
      <c r="B113" s="4">
        <v>50</v>
      </c>
      <c r="C113" s="17">
        <v>250</v>
      </c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</row>
    <row r="114" spans="1:256" ht="15" customHeight="1" thickTop="1" thickBot="1">
      <c r="A114" s="10">
        <v>523</v>
      </c>
      <c r="B114" s="18">
        <f>A114/(0.0523*C114)</f>
        <v>100.00000000000001</v>
      </c>
      <c r="C114" s="17">
        <v>100</v>
      </c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</row>
    <row r="115" spans="1:256" ht="15" customHeight="1" thickTop="1" thickBot="1">
      <c r="A115" s="19">
        <v>523</v>
      </c>
      <c r="B115" s="4">
        <v>100</v>
      </c>
      <c r="C115" s="20">
        <f>+A115/(0.0523*B115)</f>
        <v>100.00000000000001</v>
      </c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</row>
    <row r="116" spans="1:256" s="337" customFormat="1" ht="15" customHeight="1" thickTop="1" thickBot="1">
      <c r="A116" s="220"/>
      <c r="B116" s="220"/>
      <c r="C116" s="254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336"/>
      <c r="AD116" s="336"/>
      <c r="AE116" s="336"/>
      <c r="AF116" s="336"/>
      <c r="AG116" s="336"/>
      <c r="AH116" s="336"/>
      <c r="AI116" s="336"/>
      <c r="AJ116" s="336"/>
      <c r="AK116" s="336"/>
      <c r="AL116" s="336"/>
      <c r="AM116" s="336"/>
      <c r="AN116" s="336"/>
      <c r="AO116" s="336"/>
      <c r="AP116" s="336"/>
      <c r="AQ116" s="336"/>
      <c r="AR116" s="336"/>
      <c r="AS116" s="336"/>
      <c r="AT116" s="336"/>
      <c r="AU116" s="336"/>
      <c r="AV116" s="336"/>
      <c r="AW116" s="336"/>
      <c r="AX116" s="336"/>
      <c r="AY116" s="336"/>
      <c r="AZ116" s="336"/>
      <c r="BA116" s="336"/>
      <c r="BB116" s="336"/>
      <c r="BC116" s="336"/>
      <c r="BD116" s="336"/>
      <c r="BE116" s="336"/>
      <c r="BF116" s="336"/>
      <c r="BG116" s="336"/>
      <c r="BH116" s="336"/>
      <c r="BI116" s="336"/>
      <c r="BJ116" s="336"/>
      <c r="BK116" s="336"/>
      <c r="BL116" s="336"/>
      <c r="BM116" s="336"/>
      <c r="BN116" s="336"/>
      <c r="BO116" s="336"/>
      <c r="BP116" s="336"/>
      <c r="BQ116" s="336"/>
      <c r="BR116" s="336"/>
      <c r="BS116" s="336"/>
      <c r="BT116" s="336"/>
      <c r="BU116" s="336"/>
      <c r="BV116" s="336"/>
      <c r="BW116" s="336"/>
      <c r="BX116" s="336"/>
      <c r="BY116" s="336"/>
      <c r="BZ116" s="336"/>
      <c r="CA116" s="336"/>
      <c r="CB116" s="336"/>
      <c r="CC116" s="336"/>
      <c r="CD116" s="336"/>
      <c r="CE116" s="336"/>
      <c r="CF116" s="336"/>
      <c r="CG116" s="336"/>
      <c r="CH116" s="336"/>
      <c r="CI116" s="336"/>
      <c r="CJ116" s="336"/>
      <c r="CK116" s="336"/>
      <c r="CL116" s="336"/>
      <c r="CM116" s="336"/>
      <c r="CN116" s="336"/>
      <c r="CO116" s="336"/>
      <c r="CP116" s="336"/>
      <c r="CQ116" s="336"/>
      <c r="CR116" s="336"/>
      <c r="CS116" s="336"/>
      <c r="CT116" s="336"/>
      <c r="CU116" s="336"/>
      <c r="CV116" s="336"/>
      <c r="CW116" s="336"/>
      <c r="CX116" s="336"/>
      <c r="CY116" s="336"/>
      <c r="CZ116" s="336"/>
      <c r="DA116" s="336"/>
      <c r="DB116" s="336"/>
      <c r="DC116" s="336"/>
      <c r="DD116" s="336"/>
      <c r="DE116" s="336"/>
      <c r="DF116" s="336"/>
      <c r="DG116" s="336"/>
      <c r="DH116" s="336"/>
      <c r="DI116" s="336"/>
      <c r="DJ116" s="336"/>
      <c r="DK116" s="336"/>
      <c r="DL116" s="336"/>
      <c r="DM116" s="336"/>
      <c r="DN116" s="336"/>
      <c r="DO116" s="336"/>
      <c r="DP116" s="336"/>
      <c r="DQ116" s="336"/>
      <c r="DR116" s="336"/>
      <c r="DS116" s="336"/>
      <c r="DT116" s="336"/>
      <c r="DU116" s="336"/>
      <c r="DV116" s="336"/>
      <c r="DW116" s="336"/>
      <c r="DX116" s="336"/>
      <c r="DY116" s="336"/>
      <c r="DZ116" s="336"/>
      <c r="EA116" s="336"/>
      <c r="EB116" s="336"/>
      <c r="EC116" s="336"/>
      <c r="ED116" s="336"/>
      <c r="EE116" s="336"/>
      <c r="EF116" s="336"/>
      <c r="EG116" s="336"/>
      <c r="EH116" s="336"/>
      <c r="EI116" s="336"/>
      <c r="EJ116" s="336"/>
      <c r="EK116" s="336"/>
      <c r="EL116" s="336"/>
      <c r="EM116" s="336"/>
      <c r="EN116" s="336"/>
      <c r="EO116" s="336"/>
      <c r="EP116" s="336"/>
      <c r="EQ116" s="336"/>
      <c r="ER116" s="336"/>
      <c r="ES116" s="336"/>
      <c r="ET116" s="336"/>
      <c r="EU116" s="336"/>
      <c r="EV116" s="336"/>
      <c r="EW116" s="336"/>
      <c r="EX116" s="336"/>
      <c r="EY116" s="336"/>
      <c r="EZ116" s="336"/>
      <c r="FA116" s="336"/>
      <c r="FB116" s="336"/>
      <c r="FC116" s="336"/>
      <c r="FD116" s="336"/>
      <c r="FE116" s="336"/>
      <c r="FF116" s="336"/>
      <c r="FG116" s="336"/>
      <c r="FH116" s="336"/>
      <c r="FI116" s="336"/>
      <c r="FJ116" s="336"/>
      <c r="FK116" s="336"/>
      <c r="FL116" s="336"/>
      <c r="FM116" s="336"/>
      <c r="FN116" s="336"/>
      <c r="FO116" s="336"/>
      <c r="FP116" s="336"/>
      <c r="FQ116" s="336"/>
      <c r="FR116" s="336"/>
      <c r="FS116" s="336"/>
      <c r="FT116" s="336"/>
      <c r="FU116" s="336"/>
      <c r="FV116" s="336"/>
      <c r="FW116" s="336"/>
      <c r="FX116" s="336"/>
      <c r="FY116" s="336"/>
      <c r="FZ116" s="336"/>
      <c r="GA116" s="336"/>
      <c r="GB116" s="336"/>
      <c r="GC116" s="336"/>
      <c r="GD116" s="336"/>
      <c r="GE116" s="336"/>
      <c r="GF116" s="336"/>
      <c r="GG116" s="336"/>
      <c r="GH116" s="336"/>
      <c r="GI116" s="336"/>
      <c r="GJ116" s="336"/>
      <c r="GK116" s="336"/>
      <c r="GL116" s="336"/>
      <c r="GM116" s="336"/>
      <c r="GN116" s="336"/>
      <c r="GO116" s="336"/>
      <c r="GP116" s="336"/>
      <c r="GQ116" s="336"/>
      <c r="GR116" s="336"/>
      <c r="GS116" s="336"/>
      <c r="GT116" s="336"/>
      <c r="GU116" s="336"/>
      <c r="GV116" s="336"/>
      <c r="GW116" s="336"/>
      <c r="GX116" s="336"/>
      <c r="GY116" s="336"/>
      <c r="GZ116" s="336"/>
      <c r="HA116" s="336"/>
      <c r="HB116" s="336"/>
      <c r="HC116" s="336"/>
      <c r="HD116" s="336"/>
      <c r="HE116" s="336"/>
      <c r="HF116" s="336"/>
      <c r="HG116" s="336"/>
      <c r="HH116" s="336"/>
      <c r="HI116" s="336"/>
      <c r="HJ116" s="336"/>
      <c r="HK116" s="336"/>
      <c r="HL116" s="336"/>
      <c r="HM116" s="336"/>
      <c r="HN116" s="336"/>
      <c r="HO116" s="336"/>
      <c r="HP116" s="336"/>
      <c r="HQ116" s="336"/>
      <c r="HR116" s="336"/>
      <c r="HS116" s="336"/>
      <c r="HT116" s="336"/>
      <c r="HU116" s="336"/>
      <c r="HV116" s="336"/>
      <c r="HW116" s="336"/>
      <c r="HX116" s="336"/>
      <c r="HY116" s="336"/>
      <c r="HZ116" s="336"/>
      <c r="IA116" s="336"/>
      <c r="IB116" s="336"/>
      <c r="IC116" s="336"/>
      <c r="ID116" s="336"/>
      <c r="IE116" s="336"/>
      <c r="IF116" s="336"/>
      <c r="IG116" s="336"/>
      <c r="IH116" s="336"/>
      <c r="II116" s="336"/>
      <c r="IJ116" s="336"/>
      <c r="IK116" s="336"/>
      <c r="IL116" s="336"/>
      <c r="IM116" s="336"/>
      <c r="IN116" s="336"/>
      <c r="IO116" s="336"/>
      <c r="IP116" s="336"/>
      <c r="IQ116" s="336"/>
      <c r="IR116" s="336"/>
      <c r="IS116" s="336"/>
      <c r="IT116" s="336"/>
      <c r="IU116" s="336"/>
      <c r="IV116" s="336"/>
    </row>
    <row r="117" spans="1:256" ht="15" customHeight="1" thickTop="1">
      <c r="A117" s="135" t="s">
        <v>102</v>
      </c>
      <c r="B117" s="140"/>
      <c r="C117" s="140"/>
      <c r="D117" s="140"/>
      <c r="E117" s="141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</row>
    <row r="118" spans="1:256" ht="15" customHeight="1">
      <c r="A118" s="101" t="s">
        <v>97</v>
      </c>
      <c r="B118" s="165" t="s">
        <v>98</v>
      </c>
      <c r="C118" s="165" t="s">
        <v>16</v>
      </c>
      <c r="D118" s="165" t="s">
        <v>157</v>
      </c>
      <c r="E118" s="100" t="s">
        <v>158</v>
      </c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</row>
    <row r="119" spans="1:256" ht="15" customHeight="1" thickBot="1">
      <c r="A119" s="113" t="s">
        <v>28</v>
      </c>
      <c r="B119" s="114" t="s">
        <v>28</v>
      </c>
      <c r="C119" s="114" t="s">
        <v>40</v>
      </c>
      <c r="D119" s="114" t="s">
        <v>40</v>
      </c>
      <c r="E119" s="117" t="s">
        <v>61</v>
      </c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</row>
    <row r="120" spans="1:256" ht="15" customHeight="1" thickTop="1" thickBot="1">
      <c r="A120" s="3">
        <f>B120*(D120/C120)^2</f>
        <v>1202.0659279778392</v>
      </c>
      <c r="B120" s="12">
        <v>180</v>
      </c>
      <c r="C120" s="12">
        <v>190</v>
      </c>
      <c r="D120" s="12">
        <v>491</v>
      </c>
      <c r="E120" s="51">
        <f>(D120^2/4)*3.14*B120/100000</f>
        <v>340.64745300000004</v>
      </c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</row>
    <row r="121" spans="1:256" ht="15" customHeight="1" thickTop="1" thickBot="1">
      <c r="A121" s="10">
        <v>1730</v>
      </c>
      <c r="B121" s="11">
        <f>A121*(C121/D121)^2</f>
        <v>259.05401089260454</v>
      </c>
      <c r="C121" s="12">
        <v>190</v>
      </c>
      <c r="D121" s="12">
        <v>491</v>
      </c>
      <c r="E121" s="51">
        <f t="shared" ref="E121:E123" si="6">(D121^2/4)*3.14*B121/100000</f>
        <v>490.25605000000002</v>
      </c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</row>
    <row r="122" spans="1:256" ht="15" customHeight="1" thickTop="1" thickBot="1">
      <c r="A122" s="10">
        <v>1730</v>
      </c>
      <c r="B122" s="12">
        <v>180</v>
      </c>
      <c r="C122" s="13">
        <f>D122*SQRT(B122/A122)</f>
        <v>158.37794118606058</v>
      </c>
      <c r="D122" s="12">
        <v>491</v>
      </c>
      <c r="E122" s="51">
        <f t="shared" si="6"/>
        <v>340.64745300000004</v>
      </c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</row>
    <row r="123" spans="1:256" ht="15" customHeight="1" thickTop="1" thickBot="1">
      <c r="A123" s="10">
        <v>1730</v>
      </c>
      <c r="B123" s="12">
        <v>180</v>
      </c>
      <c r="C123" s="12">
        <v>190</v>
      </c>
      <c r="D123" s="11">
        <f>C123*SQRT(A123/B123)</f>
        <v>589.03404919504533</v>
      </c>
      <c r="E123" s="51">
        <f t="shared" si="6"/>
        <v>490.2560499999999</v>
      </c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</row>
    <row r="124" spans="1:256" s="337" customFormat="1" ht="15" customHeight="1" thickTop="1" thickBot="1">
      <c r="A124" s="248"/>
      <c r="B124" s="248"/>
      <c r="C124" s="248"/>
      <c r="D124" s="255"/>
      <c r="E124" s="25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336"/>
      <c r="AD124" s="336"/>
      <c r="AE124" s="336"/>
      <c r="AF124" s="336"/>
      <c r="AG124" s="336"/>
      <c r="AH124" s="336"/>
      <c r="AI124" s="336"/>
      <c r="AJ124" s="336"/>
      <c r="AK124" s="336"/>
      <c r="AL124" s="336"/>
      <c r="AM124" s="336"/>
      <c r="AN124" s="336"/>
      <c r="AO124" s="336"/>
      <c r="AP124" s="336"/>
      <c r="AQ124" s="336"/>
      <c r="AR124" s="336"/>
      <c r="AS124" s="336"/>
      <c r="AT124" s="336"/>
      <c r="AU124" s="336"/>
      <c r="AV124" s="336"/>
      <c r="AW124" s="336"/>
      <c r="AX124" s="336"/>
      <c r="AY124" s="336"/>
      <c r="AZ124" s="336"/>
      <c r="BA124" s="336"/>
      <c r="BB124" s="336"/>
      <c r="BC124" s="336"/>
      <c r="BD124" s="336"/>
      <c r="BE124" s="336"/>
      <c r="BF124" s="336"/>
      <c r="BG124" s="336"/>
      <c r="BH124" s="336"/>
      <c r="BI124" s="336"/>
      <c r="BJ124" s="336"/>
      <c r="BK124" s="336"/>
      <c r="BL124" s="336"/>
      <c r="BM124" s="336"/>
      <c r="BN124" s="336"/>
      <c r="BO124" s="336"/>
      <c r="BP124" s="336"/>
      <c r="BQ124" s="336"/>
      <c r="BR124" s="336"/>
      <c r="BS124" s="336"/>
      <c r="BT124" s="336"/>
      <c r="BU124" s="336"/>
      <c r="BV124" s="336"/>
      <c r="BW124" s="336"/>
      <c r="BX124" s="336"/>
      <c r="BY124" s="336"/>
      <c r="BZ124" s="336"/>
      <c r="CA124" s="336"/>
      <c r="CB124" s="336"/>
      <c r="CC124" s="336"/>
      <c r="CD124" s="336"/>
      <c r="CE124" s="336"/>
      <c r="CF124" s="336"/>
      <c r="CG124" s="336"/>
      <c r="CH124" s="336"/>
      <c r="CI124" s="336"/>
      <c r="CJ124" s="336"/>
      <c r="CK124" s="336"/>
      <c r="CL124" s="336"/>
      <c r="CM124" s="336"/>
      <c r="CN124" s="336"/>
      <c r="CO124" s="336"/>
      <c r="CP124" s="336"/>
      <c r="CQ124" s="336"/>
      <c r="CR124" s="336"/>
      <c r="CS124" s="336"/>
      <c r="CT124" s="336"/>
      <c r="CU124" s="336"/>
      <c r="CV124" s="336"/>
      <c r="CW124" s="336"/>
      <c r="CX124" s="336"/>
      <c r="CY124" s="336"/>
      <c r="CZ124" s="336"/>
      <c r="DA124" s="336"/>
      <c r="DB124" s="336"/>
      <c r="DC124" s="336"/>
      <c r="DD124" s="336"/>
      <c r="DE124" s="336"/>
      <c r="DF124" s="336"/>
      <c r="DG124" s="336"/>
      <c r="DH124" s="336"/>
      <c r="DI124" s="336"/>
      <c r="DJ124" s="336"/>
      <c r="DK124" s="336"/>
      <c r="DL124" s="336"/>
      <c r="DM124" s="336"/>
      <c r="DN124" s="336"/>
      <c r="DO124" s="336"/>
      <c r="DP124" s="336"/>
      <c r="DQ124" s="336"/>
      <c r="DR124" s="336"/>
      <c r="DS124" s="336"/>
      <c r="DT124" s="336"/>
      <c r="DU124" s="336"/>
      <c r="DV124" s="336"/>
      <c r="DW124" s="336"/>
      <c r="DX124" s="336"/>
      <c r="DY124" s="336"/>
      <c r="DZ124" s="336"/>
      <c r="EA124" s="336"/>
      <c r="EB124" s="336"/>
      <c r="EC124" s="336"/>
      <c r="ED124" s="336"/>
      <c r="EE124" s="336"/>
      <c r="EF124" s="336"/>
      <c r="EG124" s="336"/>
      <c r="EH124" s="336"/>
      <c r="EI124" s="336"/>
      <c r="EJ124" s="336"/>
      <c r="EK124" s="336"/>
      <c r="EL124" s="336"/>
      <c r="EM124" s="336"/>
      <c r="EN124" s="336"/>
      <c r="EO124" s="336"/>
      <c r="EP124" s="336"/>
      <c r="EQ124" s="336"/>
      <c r="ER124" s="336"/>
      <c r="ES124" s="336"/>
      <c r="ET124" s="336"/>
      <c r="EU124" s="336"/>
      <c r="EV124" s="336"/>
      <c r="EW124" s="336"/>
      <c r="EX124" s="336"/>
      <c r="EY124" s="336"/>
      <c r="EZ124" s="336"/>
      <c r="FA124" s="336"/>
      <c r="FB124" s="336"/>
      <c r="FC124" s="336"/>
      <c r="FD124" s="336"/>
      <c r="FE124" s="336"/>
      <c r="FF124" s="336"/>
      <c r="FG124" s="336"/>
      <c r="FH124" s="336"/>
      <c r="FI124" s="336"/>
      <c r="FJ124" s="336"/>
      <c r="FK124" s="336"/>
      <c r="FL124" s="336"/>
      <c r="FM124" s="336"/>
      <c r="FN124" s="336"/>
      <c r="FO124" s="336"/>
      <c r="FP124" s="336"/>
      <c r="FQ124" s="336"/>
      <c r="FR124" s="336"/>
      <c r="FS124" s="336"/>
      <c r="FT124" s="336"/>
      <c r="FU124" s="336"/>
      <c r="FV124" s="336"/>
      <c r="FW124" s="336"/>
      <c r="FX124" s="336"/>
      <c r="FY124" s="336"/>
      <c r="FZ124" s="336"/>
      <c r="GA124" s="336"/>
      <c r="GB124" s="336"/>
      <c r="GC124" s="336"/>
      <c r="GD124" s="336"/>
      <c r="GE124" s="336"/>
      <c r="GF124" s="336"/>
      <c r="GG124" s="336"/>
      <c r="GH124" s="336"/>
      <c r="GI124" s="336"/>
      <c r="GJ124" s="336"/>
      <c r="GK124" s="336"/>
      <c r="GL124" s="336"/>
      <c r="GM124" s="336"/>
      <c r="GN124" s="336"/>
      <c r="GO124" s="336"/>
      <c r="GP124" s="336"/>
      <c r="GQ124" s="336"/>
      <c r="GR124" s="336"/>
      <c r="GS124" s="336"/>
      <c r="GT124" s="336"/>
      <c r="GU124" s="336"/>
      <c r="GV124" s="336"/>
      <c r="GW124" s="336"/>
      <c r="GX124" s="336"/>
      <c r="GY124" s="336"/>
      <c r="GZ124" s="336"/>
      <c r="HA124" s="336"/>
      <c r="HB124" s="336"/>
      <c r="HC124" s="336"/>
      <c r="HD124" s="336"/>
      <c r="HE124" s="336"/>
      <c r="HF124" s="336"/>
      <c r="HG124" s="336"/>
      <c r="HH124" s="336"/>
      <c r="HI124" s="336"/>
      <c r="HJ124" s="336"/>
      <c r="HK124" s="336"/>
      <c r="HL124" s="336"/>
      <c r="HM124" s="336"/>
      <c r="HN124" s="336"/>
      <c r="HO124" s="336"/>
      <c r="HP124" s="336"/>
      <c r="HQ124" s="336"/>
      <c r="HR124" s="336"/>
      <c r="HS124" s="336"/>
      <c r="HT124" s="336"/>
      <c r="HU124" s="336"/>
      <c r="HV124" s="336"/>
      <c r="HW124" s="336"/>
      <c r="HX124" s="336"/>
      <c r="HY124" s="336"/>
      <c r="HZ124" s="336"/>
      <c r="IA124" s="336"/>
      <c r="IB124" s="336"/>
      <c r="IC124" s="336"/>
      <c r="ID124" s="336"/>
      <c r="IE124" s="336"/>
      <c r="IF124" s="336"/>
      <c r="IG124" s="336"/>
      <c r="IH124" s="336"/>
      <c r="II124" s="336"/>
      <c r="IJ124" s="336"/>
      <c r="IK124" s="336"/>
      <c r="IL124" s="336"/>
      <c r="IM124" s="336"/>
      <c r="IN124" s="336"/>
      <c r="IO124" s="336"/>
      <c r="IP124" s="336"/>
      <c r="IQ124" s="336"/>
      <c r="IR124" s="336"/>
      <c r="IS124" s="336"/>
      <c r="IT124" s="336"/>
      <c r="IU124" s="336"/>
      <c r="IV124" s="336"/>
    </row>
    <row r="125" spans="1:256" ht="15" customHeight="1" thickTop="1">
      <c r="A125" s="135" t="s">
        <v>99</v>
      </c>
      <c r="B125" s="111"/>
      <c r="C125" s="111"/>
      <c r="D125" s="141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</row>
    <row r="126" spans="1:256" ht="15" customHeight="1">
      <c r="A126" s="101" t="s">
        <v>101</v>
      </c>
      <c r="B126" s="165" t="s">
        <v>101</v>
      </c>
      <c r="C126" s="165" t="s">
        <v>100</v>
      </c>
      <c r="D126" s="100" t="s">
        <v>100</v>
      </c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</row>
    <row r="127" spans="1:256" ht="15" customHeight="1" thickBot="1">
      <c r="A127" s="113" t="s">
        <v>28</v>
      </c>
      <c r="B127" s="114" t="s">
        <v>40</v>
      </c>
      <c r="C127" s="114" t="s">
        <v>28</v>
      </c>
      <c r="D127" s="117" t="s">
        <v>40</v>
      </c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</row>
    <row r="128" spans="1:256" ht="15" customHeight="1" thickTop="1" thickBot="1">
      <c r="A128" s="3">
        <f>C128*(D128/B128)^2</f>
        <v>2703.125</v>
      </c>
      <c r="B128" s="4">
        <v>40</v>
      </c>
      <c r="C128" s="4">
        <v>1730</v>
      </c>
      <c r="D128" s="17">
        <v>50</v>
      </c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</row>
    <row r="129" spans="1:256" ht="15" customHeight="1" thickTop="1" thickBot="1">
      <c r="A129" s="19">
        <v>1400</v>
      </c>
      <c r="B129" s="13">
        <f>D129*SQRT(C129/A129)</f>
        <v>55.581343221315862</v>
      </c>
      <c r="C129" s="4">
        <v>1730</v>
      </c>
      <c r="D129" s="17">
        <v>50</v>
      </c>
      <c r="E129" s="217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</row>
    <row r="130" spans="1:256" s="337" customFormat="1" ht="15" customHeight="1" thickTop="1" thickBot="1">
      <c r="A130" s="251"/>
      <c r="B130" s="257"/>
      <c r="C130" s="251"/>
      <c r="D130" s="251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336"/>
      <c r="AD130" s="336"/>
      <c r="AE130" s="336"/>
      <c r="AF130" s="336"/>
      <c r="AG130" s="336"/>
      <c r="AH130" s="336"/>
      <c r="AI130" s="336"/>
      <c r="AJ130" s="336"/>
      <c r="AK130" s="336"/>
      <c r="AL130" s="336"/>
      <c r="AM130" s="336"/>
      <c r="AN130" s="336"/>
      <c r="AO130" s="336"/>
      <c r="AP130" s="336"/>
      <c r="AQ130" s="336"/>
      <c r="AR130" s="336"/>
      <c r="AS130" s="336"/>
      <c r="AT130" s="336"/>
      <c r="AU130" s="336"/>
      <c r="AV130" s="336"/>
      <c r="AW130" s="336"/>
      <c r="AX130" s="336"/>
      <c r="AY130" s="336"/>
      <c r="AZ130" s="336"/>
      <c r="BA130" s="336"/>
      <c r="BB130" s="336"/>
      <c r="BC130" s="336"/>
      <c r="BD130" s="336"/>
      <c r="BE130" s="336"/>
      <c r="BF130" s="336"/>
      <c r="BG130" s="336"/>
      <c r="BH130" s="336"/>
      <c r="BI130" s="336"/>
      <c r="BJ130" s="336"/>
      <c r="BK130" s="336"/>
      <c r="BL130" s="336"/>
      <c r="BM130" s="336"/>
      <c r="BN130" s="336"/>
      <c r="BO130" s="336"/>
      <c r="BP130" s="336"/>
      <c r="BQ130" s="336"/>
      <c r="BR130" s="336"/>
      <c r="BS130" s="336"/>
      <c r="BT130" s="336"/>
      <c r="BU130" s="336"/>
      <c r="BV130" s="336"/>
      <c r="BW130" s="336"/>
      <c r="BX130" s="336"/>
      <c r="BY130" s="336"/>
      <c r="BZ130" s="336"/>
      <c r="CA130" s="336"/>
      <c r="CB130" s="336"/>
      <c r="CC130" s="336"/>
      <c r="CD130" s="336"/>
      <c r="CE130" s="336"/>
      <c r="CF130" s="336"/>
      <c r="CG130" s="336"/>
      <c r="CH130" s="336"/>
      <c r="CI130" s="336"/>
      <c r="CJ130" s="336"/>
      <c r="CK130" s="336"/>
      <c r="CL130" s="336"/>
      <c r="CM130" s="336"/>
      <c r="CN130" s="336"/>
      <c r="CO130" s="336"/>
      <c r="CP130" s="336"/>
      <c r="CQ130" s="336"/>
      <c r="CR130" s="336"/>
      <c r="CS130" s="336"/>
      <c r="CT130" s="336"/>
      <c r="CU130" s="336"/>
      <c r="CV130" s="336"/>
      <c r="CW130" s="336"/>
      <c r="CX130" s="336"/>
      <c r="CY130" s="336"/>
      <c r="CZ130" s="336"/>
      <c r="DA130" s="336"/>
      <c r="DB130" s="336"/>
      <c r="DC130" s="336"/>
      <c r="DD130" s="336"/>
      <c r="DE130" s="336"/>
      <c r="DF130" s="336"/>
      <c r="DG130" s="336"/>
      <c r="DH130" s="336"/>
      <c r="DI130" s="336"/>
      <c r="DJ130" s="336"/>
      <c r="DK130" s="336"/>
      <c r="DL130" s="336"/>
      <c r="DM130" s="336"/>
      <c r="DN130" s="336"/>
      <c r="DO130" s="336"/>
      <c r="DP130" s="336"/>
      <c r="DQ130" s="336"/>
      <c r="DR130" s="336"/>
      <c r="DS130" s="336"/>
      <c r="DT130" s="336"/>
      <c r="DU130" s="336"/>
      <c r="DV130" s="336"/>
      <c r="DW130" s="336"/>
      <c r="DX130" s="336"/>
      <c r="DY130" s="336"/>
      <c r="DZ130" s="336"/>
      <c r="EA130" s="336"/>
      <c r="EB130" s="336"/>
      <c r="EC130" s="336"/>
      <c r="ED130" s="336"/>
      <c r="EE130" s="336"/>
      <c r="EF130" s="336"/>
      <c r="EG130" s="336"/>
      <c r="EH130" s="336"/>
      <c r="EI130" s="336"/>
      <c r="EJ130" s="336"/>
      <c r="EK130" s="336"/>
      <c r="EL130" s="336"/>
      <c r="EM130" s="336"/>
      <c r="EN130" s="336"/>
      <c r="EO130" s="336"/>
      <c r="EP130" s="336"/>
      <c r="EQ130" s="336"/>
      <c r="ER130" s="336"/>
      <c r="ES130" s="336"/>
      <c r="ET130" s="336"/>
      <c r="EU130" s="336"/>
      <c r="EV130" s="336"/>
      <c r="EW130" s="336"/>
      <c r="EX130" s="336"/>
      <c r="EY130" s="336"/>
      <c r="EZ130" s="336"/>
      <c r="FA130" s="336"/>
      <c r="FB130" s="336"/>
      <c r="FC130" s="336"/>
      <c r="FD130" s="336"/>
      <c r="FE130" s="336"/>
      <c r="FF130" s="336"/>
      <c r="FG130" s="336"/>
      <c r="FH130" s="336"/>
      <c r="FI130" s="336"/>
      <c r="FJ130" s="336"/>
      <c r="FK130" s="336"/>
      <c r="FL130" s="336"/>
      <c r="FM130" s="336"/>
      <c r="FN130" s="336"/>
      <c r="FO130" s="336"/>
      <c r="FP130" s="336"/>
      <c r="FQ130" s="336"/>
      <c r="FR130" s="336"/>
      <c r="FS130" s="336"/>
      <c r="FT130" s="336"/>
      <c r="FU130" s="336"/>
      <c r="FV130" s="336"/>
      <c r="FW130" s="336"/>
      <c r="FX130" s="336"/>
      <c r="FY130" s="336"/>
      <c r="FZ130" s="336"/>
      <c r="GA130" s="336"/>
      <c r="GB130" s="336"/>
      <c r="GC130" s="336"/>
      <c r="GD130" s="336"/>
      <c r="GE130" s="336"/>
      <c r="GF130" s="336"/>
      <c r="GG130" s="336"/>
      <c r="GH130" s="336"/>
      <c r="GI130" s="336"/>
      <c r="GJ130" s="336"/>
      <c r="GK130" s="336"/>
      <c r="GL130" s="336"/>
      <c r="GM130" s="336"/>
      <c r="GN130" s="336"/>
      <c r="GO130" s="336"/>
      <c r="GP130" s="336"/>
      <c r="GQ130" s="336"/>
      <c r="GR130" s="336"/>
      <c r="GS130" s="336"/>
      <c r="GT130" s="336"/>
      <c r="GU130" s="336"/>
      <c r="GV130" s="336"/>
      <c r="GW130" s="336"/>
      <c r="GX130" s="336"/>
      <c r="GY130" s="336"/>
      <c r="GZ130" s="336"/>
      <c r="HA130" s="336"/>
      <c r="HB130" s="336"/>
      <c r="HC130" s="336"/>
      <c r="HD130" s="336"/>
      <c r="HE130" s="336"/>
      <c r="HF130" s="336"/>
      <c r="HG130" s="336"/>
      <c r="HH130" s="336"/>
      <c r="HI130" s="336"/>
      <c r="HJ130" s="336"/>
      <c r="HK130" s="336"/>
      <c r="HL130" s="336"/>
      <c r="HM130" s="336"/>
      <c r="HN130" s="336"/>
      <c r="HO130" s="336"/>
      <c r="HP130" s="336"/>
      <c r="HQ130" s="336"/>
      <c r="HR130" s="336"/>
      <c r="HS130" s="336"/>
      <c r="HT130" s="336"/>
      <c r="HU130" s="336"/>
      <c r="HV130" s="336"/>
      <c r="HW130" s="336"/>
      <c r="HX130" s="336"/>
      <c r="HY130" s="336"/>
      <c r="HZ130" s="336"/>
      <c r="IA130" s="336"/>
      <c r="IB130" s="336"/>
      <c r="IC130" s="336"/>
      <c r="ID130" s="336"/>
      <c r="IE130" s="336"/>
      <c r="IF130" s="336"/>
      <c r="IG130" s="336"/>
      <c r="IH130" s="336"/>
      <c r="II130" s="336"/>
      <c r="IJ130" s="336"/>
      <c r="IK130" s="336"/>
      <c r="IL130" s="336"/>
      <c r="IM130" s="336"/>
      <c r="IN130" s="336"/>
      <c r="IO130" s="336"/>
      <c r="IP130" s="336"/>
      <c r="IQ130" s="336"/>
      <c r="IR130" s="336"/>
      <c r="IS130" s="336"/>
      <c r="IT130" s="336"/>
      <c r="IU130" s="336"/>
      <c r="IV130" s="336"/>
    </row>
    <row r="131" spans="1:256" ht="15" customHeight="1" thickTop="1">
      <c r="A131" s="258" t="s">
        <v>208</v>
      </c>
      <c r="B131" s="259"/>
      <c r="C131" s="260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</row>
    <row r="132" spans="1:256" ht="15" customHeight="1">
      <c r="A132" s="21" t="s">
        <v>53</v>
      </c>
      <c r="B132" s="22" t="s">
        <v>211</v>
      </c>
      <c r="C132" s="23" t="s">
        <v>273</v>
      </c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</row>
    <row r="133" spans="1:256" ht="15" customHeight="1">
      <c r="A133" s="24" t="s">
        <v>209</v>
      </c>
      <c r="B133" s="25">
        <v>2.6</v>
      </c>
      <c r="C133" s="26">
        <v>2.6</v>
      </c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</row>
    <row r="134" spans="1:256" ht="15" customHeight="1">
      <c r="A134" s="24" t="s">
        <v>210</v>
      </c>
      <c r="B134" s="25">
        <v>2.8</v>
      </c>
      <c r="C134" s="26">
        <v>2.8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</row>
    <row r="135" spans="1:256" ht="15" customHeight="1">
      <c r="A135" s="24" t="s">
        <v>56</v>
      </c>
      <c r="B135" s="25">
        <v>1.06</v>
      </c>
      <c r="C135" s="26">
        <v>1.4</v>
      </c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</row>
    <row r="136" spans="1:256" ht="15" customHeight="1">
      <c r="A136" s="24" t="s">
        <v>213</v>
      </c>
      <c r="B136" s="25">
        <v>1.07</v>
      </c>
      <c r="C136" s="26">
        <v>1.3</v>
      </c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</row>
    <row r="137" spans="1:256" ht="15" customHeight="1">
      <c r="A137" s="24" t="s">
        <v>215</v>
      </c>
      <c r="B137" s="25">
        <v>0.95</v>
      </c>
      <c r="C137" s="26">
        <v>0.74</v>
      </c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</row>
    <row r="138" spans="1:256" ht="15" customHeight="1">
      <c r="A138" s="24" t="s">
        <v>214</v>
      </c>
      <c r="B138" s="25">
        <v>0.92</v>
      </c>
      <c r="C138" s="26">
        <v>0.76</v>
      </c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</row>
    <row r="139" spans="1:256" ht="15" customHeight="1">
      <c r="A139" s="24" t="s">
        <v>57</v>
      </c>
      <c r="B139" s="25">
        <v>1.1399999999999999</v>
      </c>
      <c r="C139" s="26">
        <v>0.97</v>
      </c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</row>
    <row r="140" spans="1:256" ht="15" customHeight="1">
      <c r="A140" s="24" t="s">
        <v>220</v>
      </c>
      <c r="B140" s="25">
        <v>1.1499999999999999</v>
      </c>
      <c r="C140" s="26">
        <v>0.97</v>
      </c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217"/>
    </row>
    <row r="141" spans="1:256" ht="15" customHeight="1">
      <c r="A141" s="24" t="s">
        <v>218</v>
      </c>
      <c r="B141" s="25">
        <v>1.2</v>
      </c>
      <c r="C141" s="26">
        <v>1.02</v>
      </c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</row>
    <row r="142" spans="1:256" ht="15" customHeight="1">
      <c r="A142" s="24" t="s">
        <v>219</v>
      </c>
      <c r="B142" s="25">
        <v>1.4</v>
      </c>
      <c r="C142" s="26">
        <v>1.2</v>
      </c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</row>
    <row r="143" spans="1:256" ht="15" customHeight="1">
      <c r="A143" s="24" t="s">
        <v>216</v>
      </c>
      <c r="B143" s="25">
        <v>1.18</v>
      </c>
      <c r="C143" s="26">
        <v>0.94</v>
      </c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</row>
    <row r="144" spans="1:256" ht="15" customHeight="1">
      <c r="A144" s="24" t="s">
        <v>217</v>
      </c>
      <c r="B144" s="25">
        <v>1.42</v>
      </c>
      <c r="C144" s="26">
        <v>1.1499999999999999</v>
      </c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</row>
    <row r="145" spans="1:256" ht="15" customHeight="1">
      <c r="A145" s="24" t="s">
        <v>55</v>
      </c>
      <c r="B145" s="25">
        <v>0.9</v>
      </c>
      <c r="C145" s="26">
        <v>0.7</v>
      </c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</row>
    <row r="146" spans="1:256" ht="15" customHeight="1">
      <c r="A146" s="24" t="s">
        <v>58</v>
      </c>
      <c r="B146" s="25">
        <v>1.05</v>
      </c>
      <c r="C146" s="26">
        <v>0.95</v>
      </c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</row>
    <row r="147" spans="1:256" ht="15" customHeight="1">
      <c r="A147" s="27" t="s">
        <v>221</v>
      </c>
      <c r="B147" s="28">
        <v>1.2</v>
      </c>
      <c r="C147" s="26">
        <v>0.9</v>
      </c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</row>
    <row r="148" spans="1:256" ht="15" customHeight="1" thickBot="1">
      <c r="A148" s="29" t="s">
        <v>212</v>
      </c>
      <c r="B148" s="30">
        <v>1.08</v>
      </c>
      <c r="C148" s="31">
        <v>1.3</v>
      </c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</row>
    <row r="149" spans="1:256" s="337" customFormat="1" ht="15" customHeight="1" thickTop="1" thickBot="1">
      <c r="A149" s="262"/>
      <c r="B149" s="261"/>
      <c r="C149" s="261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36"/>
      <c r="BF149" s="336"/>
      <c r="BG149" s="336"/>
      <c r="BH149" s="336"/>
      <c r="BI149" s="336"/>
      <c r="BJ149" s="336"/>
      <c r="BK149" s="336"/>
      <c r="BL149" s="336"/>
      <c r="BM149" s="336"/>
      <c r="BN149" s="336"/>
      <c r="BO149" s="336"/>
      <c r="BP149" s="336"/>
      <c r="BQ149" s="336"/>
      <c r="BR149" s="336"/>
      <c r="BS149" s="336"/>
      <c r="BT149" s="336"/>
      <c r="BU149" s="336"/>
      <c r="BV149" s="336"/>
      <c r="BW149" s="336"/>
      <c r="BX149" s="336"/>
      <c r="BY149" s="336"/>
      <c r="BZ149" s="336"/>
      <c r="CA149" s="336"/>
      <c r="CB149" s="336"/>
      <c r="CC149" s="336"/>
      <c r="CD149" s="336"/>
      <c r="CE149" s="336"/>
      <c r="CF149" s="336"/>
      <c r="CG149" s="336"/>
      <c r="CH149" s="336"/>
      <c r="CI149" s="336"/>
      <c r="CJ149" s="336"/>
      <c r="CK149" s="336"/>
      <c r="CL149" s="336"/>
      <c r="CM149" s="336"/>
      <c r="CN149" s="336"/>
      <c r="CO149" s="336"/>
      <c r="CP149" s="336"/>
      <c r="CQ149" s="336"/>
      <c r="CR149" s="336"/>
      <c r="CS149" s="336"/>
      <c r="CT149" s="336"/>
      <c r="CU149" s="336"/>
      <c r="CV149" s="336"/>
      <c r="CW149" s="336"/>
      <c r="CX149" s="336"/>
      <c r="CY149" s="336"/>
      <c r="CZ149" s="336"/>
      <c r="DA149" s="336"/>
      <c r="DB149" s="336"/>
      <c r="DC149" s="336"/>
      <c r="DD149" s="336"/>
      <c r="DE149" s="336"/>
      <c r="DF149" s="336"/>
      <c r="DG149" s="336"/>
      <c r="DH149" s="336"/>
      <c r="DI149" s="336"/>
      <c r="DJ149" s="336"/>
      <c r="DK149" s="336"/>
      <c r="DL149" s="336"/>
      <c r="DM149" s="336"/>
      <c r="DN149" s="336"/>
      <c r="DO149" s="336"/>
      <c r="DP149" s="336"/>
      <c r="DQ149" s="336"/>
      <c r="DR149" s="336"/>
      <c r="DS149" s="336"/>
      <c r="DT149" s="336"/>
      <c r="DU149" s="336"/>
      <c r="DV149" s="336"/>
      <c r="DW149" s="336"/>
      <c r="DX149" s="336"/>
      <c r="DY149" s="336"/>
      <c r="DZ149" s="336"/>
      <c r="EA149" s="336"/>
      <c r="EB149" s="336"/>
      <c r="EC149" s="336"/>
      <c r="ED149" s="336"/>
      <c r="EE149" s="336"/>
      <c r="EF149" s="336"/>
      <c r="EG149" s="336"/>
      <c r="EH149" s="336"/>
      <c r="EI149" s="336"/>
      <c r="EJ149" s="336"/>
      <c r="EK149" s="336"/>
      <c r="EL149" s="336"/>
      <c r="EM149" s="336"/>
      <c r="EN149" s="336"/>
      <c r="EO149" s="336"/>
      <c r="EP149" s="336"/>
      <c r="EQ149" s="336"/>
      <c r="ER149" s="336"/>
      <c r="ES149" s="336"/>
      <c r="ET149" s="336"/>
      <c r="EU149" s="336"/>
      <c r="EV149" s="336"/>
      <c r="EW149" s="336"/>
      <c r="EX149" s="336"/>
      <c r="EY149" s="336"/>
      <c r="EZ149" s="336"/>
      <c r="FA149" s="336"/>
      <c r="FB149" s="336"/>
      <c r="FC149" s="336"/>
      <c r="FD149" s="336"/>
      <c r="FE149" s="336"/>
      <c r="FF149" s="336"/>
      <c r="FG149" s="336"/>
      <c r="FH149" s="336"/>
      <c r="FI149" s="336"/>
      <c r="FJ149" s="336"/>
      <c r="FK149" s="336"/>
      <c r="FL149" s="336"/>
      <c r="FM149" s="336"/>
      <c r="FN149" s="336"/>
      <c r="FO149" s="336"/>
      <c r="FP149" s="336"/>
      <c r="FQ149" s="336"/>
      <c r="FR149" s="336"/>
      <c r="FS149" s="336"/>
      <c r="FT149" s="336"/>
      <c r="FU149" s="336"/>
      <c r="FV149" s="336"/>
      <c r="FW149" s="336"/>
      <c r="FX149" s="336"/>
      <c r="FY149" s="336"/>
      <c r="FZ149" s="336"/>
      <c r="GA149" s="336"/>
      <c r="GB149" s="336"/>
      <c r="GC149" s="336"/>
      <c r="GD149" s="336"/>
      <c r="GE149" s="336"/>
      <c r="GF149" s="336"/>
      <c r="GG149" s="336"/>
      <c r="GH149" s="336"/>
      <c r="GI149" s="336"/>
      <c r="GJ149" s="336"/>
      <c r="GK149" s="336"/>
      <c r="GL149" s="336"/>
      <c r="GM149" s="336"/>
      <c r="GN149" s="336"/>
      <c r="GO149" s="336"/>
      <c r="GP149" s="336"/>
      <c r="GQ149" s="336"/>
      <c r="GR149" s="336"/>
      <c r="GS149" s="336"/>
      <c r="GT149" s="336"/>
      <c r="GU149" s="336"/>
      <c r="GV149" s="336"/>
      <c r="GW149" s="336"/>
      <c r="GX149" s="336"/>
      <c r="GY149" s="336"/>
      <c r="GZ149" s="336"/>
      <c r="HA149" s="336"/>
      <c r="HB149" s="336"/>
      <c r="HC149" s="336"/>
      <c r="HD149" s="336"/>
      <c r="HE149" s="336"/>
      <c r="HF149" s="336"/>
      <c r="HG149" s="336"/>
      <c r="HH149" s="336"/>
      <c r="HI149" s="336"/>
      <c r="HJ149" s="336"/>
      <c r="HK149" s="336"/>
      <c r="HL149" s="336"/>
      <c r="HM149" s="336"/>
      <c r="HN149" s="336"/>
      <c r="HO149" s="336"/>
      <c r="HP149" s="336"/>
      <c r="HQ149" s="336"/>
      <c r="HR149" s="336"/>
      <c r="HS149" s="336"/>
      <c r="HT149" s="336"/>
      <c r="HU149" s="336"/>
      <c r="HV149" s="336"/>
      <c r="HW149" s="336"/>
      <c r="HX149" s="336"/>
      <c r="HY149" s="336"/>
      <c r="HZ149" s="336"/>
      <c r="IA149" s="336"/>
      <c r="IB149" s="336"/>
      <c r="IC149" s="336"/>
      <c r="ID149" s="336"/>
      <c r="IE149" s="336"/>
      <c r="IF149" s="336"/>
      <c r="IG149" s="336"/>
      <c r="IH149" s="336"/>
      <c r="II149" s="336"/>
      <c r="IJ149" s="336"/>
      <c r="IK149" s="336"/>
      <c r="IL149" s="336"/>
      <c r="IM149" s="336"/>
      <c r="IN149" s="336"/>
      <c r="IO149" s="336"/>
      <c r="IP149" s="336"/>
      <c r="IQ149" s="336"/>
      <c r="IR149" s="336"/>
      <c r="IS149" s="336"/>
      <c r="IT149" s="336"/>
      <c r="IU149" s="336"/>
      <c r="IV149" s="336"/>
    </row>
    <row r="150" spans="1:256" ht="15" customHeight="1" thickTop="1">
      <c r="A150" s="214" t="s">
        <v>339</v>
      </c>
      <c r="B150" s="383"/>
      <c r="C150" s="383"/>
      <c r="D150" s="383"/>
      <c r="E150" s="383"/>
      <c r="F150" s="383"/>
      <c r="G150" s="397"/>
      <c r="H150" s="217"/>
      <c r="I150" s="217"/>
      <c r="J150" s="217"/>
      <c r="K150" s="217"/>
      <c r="L150" s="217"/>
      <c r="M150" s="217"/>
      <c r="N150" s="217"/>
      <c r="O150" s="217"/>
    </row>
    <row r="151" spans="1:256" ht="15" customHeight="1">
      <c r="A151" s="101" t="s">
        <v>46</v>
      </c>
      <c r="B151" s="165" t="s">
        <v>47</v>
      </c>
      <c r="C151" s="165" t="s">
        <v>204</v>
      </c>
      <c r="D151" s="165" t="s">
        <v>205</v>
      </c>
      <c r="E151" s="165" t="s">
        <v>206</v>
      </c>
      <c r="F151" s="79" t="s">
        <v>48</v>
      </c>
      <c r="G151" s="120"/>
      <c r="H151" s="217"/>
      <c r="I151" s="217"/>
      <c r="J151" s="217"/>
      <c r="K151" s="217"/>
      <c r="L151" s="217"/>
      <c r="M151" s="217"/>
      <c r="N151" s="217"/>
      <c r="O151" s="217"/>
    </row>
    <row r="152" spans="1:256" ht="15" customHeight="1">
      <c r="A152" s="32">
        <v>10</v>
      </c>
      <c r="B152" s="33">
        <v>90</v>
      </c>
      <c r="C152" s="33">
        <v>0</v>
      </c>
      <c r="D152" s="33">
        <v>0</v>
      </c>
      <c r="E152" s="33">
        <v>0</v>
      </c>
      <c r="F152" s="34">
        <f>SUM(A152:E152)</f>
        <v>100</v>
      </c>
      <c r="G152" s="169" t="s">
        <v>207</v>
      </c>
      <c r="H152" s="217"/>
      <c r="I152" s="217"/>
      <c r="J152" s="217"/>
      <c r="K152" s="217"/>
      <c r="L152" s="217"/>
      <c r="M152" s="217"/>
      <c r="N152" s="217"/>
      <c r="O152" s="217"/>
    </row>
    <row r="153" spans="1:256" ht="15" customHeight="1" thickBot="1">
      <c r="A153" s="35">
        <f>+IF(A152&gt;0,A152/F152,0)</f>
        <v>0.1</v>
      </c>
      <c r="B153" s="36">
        <f>+IF(B152&gt;0,B152/F152,0)</f>
        <v>0.9</v>
      </c>
      <c r="C153" s="36">
        <f>+IF(C152&gt;0,C152/F152,0)</f>
        <v>0</v>
      </c>
      <c r="D153" s="36">
        <f>+IF(D152&gt;0,D152/F152,0)</f>
        <v>0</v>
      </c>
      <c r="E153" s="36">
        <f>+IF(E152&gt;0,E152/F152,0)</f>
        <v>0</v>
      </c>
      <c r="F153" s="37">
        <f>SUM(A153:E153)</f>
        <v>1</v>
      </c>
      <c r="G153" s="170" t="s">
        <v>202</v>
      </c>
      <c r="H153" s="217"/>
      <c r="I153" s="217"/>
      <c r="J153" s="217"/>
      <c r="K153" s="217"/>
      <c r="L153" s="217"/>
      <c r="M153" s="217"/>
      <c r="N153" s="217"/>
      <c r="O153" s="217"/>
    </row>
    <row r="154" spans="1:256" ht="15" customHeight="1" thickTop="1" thickBot="1">
      <c r="A154" s="38">
        <v>2.6</v>
      </c>
      <c r="B154" s="2">
        <v>0.9</v>
      </c>
      <c r="C154" s="2">
        <v>0</v>
      </c>
      <c r="D154" s="2">
        <v>0</v>
      </c>
      <c r="E154" s="39">
        <v>0</v>
      </c>
      <c r="F154" s="40">
        <f>+F152/(IF(A154&gt;0,(A152/A154),0)+IF(B154&gt;0,(B152/B154),0)+IF(C154&gt;0,(C152/C154),0)+IF(D154&gt;0,(D152/D154),0)+IF(E154&gt;0,(E152/E154),0))</f>
        <v>0.96296296296296302</v>
      </c>
      <c r="G154" s="171" t="s">
        <v>41</v>
      </c>
      <c r="H154" s="217"/>
      <c r="I154" s="217"/>
      <c r="J154" s="217"/>
      <c r="K154" s="217"/>
      <c r="L154" s="217"/>
      <c r="M154" s="217"/>
      <c r="N154" s="217"/>
      <c r="O154" s="217"/>
    </row>
    <row r="155" spans="1:256" ht="15" customHeight="1" thickTop="1">
      <c r="A155" s="41">
        <f>IF(A154&gt;0,+A152/A154,0)</f>
        <v>3.8461538461538458</v>
      </c>
      <c r="B155" s="42">
        <f t="shared" ref="B155:F155" si="7">IF(B154&gt;0,+B152/B154,0)</f>
        <v>100</v>
      </c>
      <c r="C155" s="42">
        <f t="shared" si="7"/>
        <v>0</v>
      </c>
      <c r="D155" s="42">
        <f t="shared" si="7"/>
        <v>0</v>
      </c>
      <c r="E155" s="42">
        <f t="shared" si="7"/>
        <v>0</v>
      </c>
      <c r="F155" s="43">
        <f t="shared" si="7"/>
        <v>103.84615384615384</v>
      </c>
      <c r="G155" s="170" t="s">
        <v>196</v>
      </c>
      <c r="H155" s="217"/>
      <c r="I155" s="217"/>
      <c r="J155" s="217"/>
      <c r="K155" s="217"/>
      <c r="L155" s="217"/>
      <c r="M155" s="217"/>
      <c r="N155" s="217"/>
      <c r="O155" s="217"/>
    </row>
    <row r="156" spans="1:256" ht="15" customHeight="1" thickBot="1">
      <c r="A156" s="44">
        <f>+IF(A155&gt;0,A155/F155,0)</f>
        <v>3.7037037037037035E-2</v>
      </c>
      <c r="B156" s="45">
        <f>+IF(B155&gt;0,B155/F155,0)</f>
        <v>0.96296296296296302</v>
      </c>
      <c r="C156" s="45">
        <f>+IF(C155&gt;0,C155/F155,0)</f>
        <v>0</v>
      </c>
      <c r="D156" s="45">
        <f>+IF(D155&gt;0,D155/F155,0)</f>
        <v>0</v>
      </c>
      <c r="E156" s="45">
        <f>+IF(E155&gt;0,E155/F155,0)</f>
        <v>0</v>
      </c>
      <c r="F156" s="46">
        <f>SUM(A156:E156)</f>
        <v>1</v>
      </c>
      <c r="G156" s="85" t="s">
        <v>203</v>
      </c>
      <c r="H156" s="217"/>
      <c r="I156" s="217"/>
      <c r="J156" s="217"/>
      <c r="K156" s="217"/>
      <c r="L156" s="217"/>
      <c r="M156" s="217"/>
      <c r="N156" s="217"/>
      <c r="O156" s="217"/>
    </row>
    <row r="157" spans="1:256" s="337" customFormat="1" ht="15" customHeight="1" thickTop="1" thickBot="1">
      <c r="A157" s="263"/>
      <c r="B157" s="263"/>
      <c r="C157" s="263"/>
      <c r="D157" s="263"/>
      <c r="E157" s="263"/>
      <c r="F157" s="264"/>
      <c r="G157" s="236"/>
      <c r="H157" s="236"/>
      <c r="I157" s="236"/>
      <c r="J157" s="236"/>
      <c r="K157" s="236"/>
      <c r="L157" s="236"/>
      <c r="M157" s="236"/>
      <c r="N157" s="236"/>
      <c r="O157" s="2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  <c r="BD157" s="336"/>
      <c r="BE157" s="336"/>
      <c r="BF157" s="336"/>
      <c r="BG157" s="336"/>
      <c r="BH157" s="336"/>
      <c r="BI157" s="336"/>
      <c r="BJ157" s="336"/>
      <c r="BK157" s="336"/>
      <c r="BL157" s="336"/>
      <c r="BM157" s="336"/>
      <c r="BN157" s="336"/>
      <c r="BO157" s="336"/>
      <c r="BP157" s="336"/>
      <c r="BQ157" s="336"/>
      <c r="BR157" s="336"/>
      <c r="BS157" s="336"/>
      <c r="BT157" s="336"/>
      <c r="BU157" s="336"/>
      <c r="BV157" s="336"/>
      <c r="BW157" s="336"/>
      <c r="BX157" s="336"/>
      <c r="BY157" s="336"/>
      <c r="BZ157" s="336"/>
      <c r="CA157" s="336"/>
      <c r="CB157" s="336"/>
      <c r="CC157" s="336"/>
      <c r="CD157" s="336"/>
      <c r="CE157" s="336"/>
      <c r="CF157" s="336"/>
      <c r="CG157" s="336"/>
      <c r="CH157" s="336"/>
      <c r="CI157" s="336"/>
      <c r="CJ157" s="336"/>
      <c r="CK157" s="336"/>
      <c r="CL157" s="336"/>
      <c r="CM157" s="336"/>
      <c r="CN157" s="336"/>
      <c r="CO157" s="336"/>
      <c r="CP157" s="336"/>
      <c r="CQ157" s="336"/>
      <c r="CR157" s="336"/>
      <c r="CS157" s="336"/>
      <c r="CT157" s="336"/>
      <c r="CU157" s="336"/>
      <c r="CV157" s="336"/>
      <c r="CW157" s="336"/>
      <c r="CX157" s="336"/>
      <c r="CY157" s="336"/>
      <c r="CZ157" s="336"/>
      <c r="DA157" s="336"/>
      <c r="DB157" s="336"/>
      <c r="DC157" s="336"/>
      <c r="DD157" s="336"/>
      <c r="DE157" s="336"/>
      <c r="DF157" s="336"/>
      <c r="DG157" s="336"/>
      <c r="DH157" s="336"/>
      <c r="DI157" s="336"/>
      <c r="DJ157" s="336"/>
      <c r="DK157" s="336"/>
      <c r="DL157" s="336"/>
      <c r="DM157" s="336"/>
      <c r="DN157" s="336"/>
      <c r="DO157" s="336"/>
      <c r="DP157" s="336"/>
      <c r="DQ157" s="336"/>
      <c r="DR157" s="336"/>
      <c r="DS157" s="336"/>
      <c r="DT157" s="336"/>
      <c r="DU157" s="336"/>
      <c r="DV157" s="336"/>
      <c r="DW157" s="336"/>
      <c r="DX157" s="336"/>
      <c r="DY157" s="336"/>
      <c r="DZ157" s="336"/>
      <c r="EA157" s="336"/>
      <c r="EB157" s="336"/>
      <c r="EC157" s="336"/>
      <c r="ED157" s="336"/>
      <c r="EE157" s="336"/>
      <c r="EF157" s="336"/>
      <c r="EG157" s="336"/>
      <c r="EH157" s="336"/>
      <c r="EI157" s="336"/>
      <c r="EJ157" s="336"/>
      <c r="EK157" s="336"/>
      <c r="EL157" s="336"/>
      <c r="EM157" s="336"/>
      <c r="EN157" s="336"/>
      <c r="EO157" s="336"/>
      <c r="EP157" s="336"/>
      <c r="EQ157" s="336"/>
      <c r="ER157" s="336"/>
      <c r="ES157" s="336"/>
      <c r="ET157" s="336"/>
      <c r="EU157" s="336"/>
      <c r="EV157" s="336"/>
      <c r="EW157" s="336"/>
      <c r="EX157" s="336"/>
      <c r="EY157" s="336"/>
      <c r="EZ157" s="336"/>
      <c r="FA157" s="336"/>
      <c r="FB157" s="336"/>
      <c r="FC157" s="336"/>
      <c r="FD157" s="336"/>
      <c r="FE157" s="336"/>
      <c r="FF157" s="336"/>
      <c r="FG157" s="336"/>
      <c r="FH157" s="336"/>
      <c r="FI157" s="336"/>
      <c r="FJ157" s="336"/>
      <c r="FK157" s="336"/>
      <c r="FL157" s="336"/>
      <c r="FM157" s="336"/>
      <c r="FN157" s="336"/>
      <c r="FO157" s="336"/>
      <c r="FP157" s="336"/>
      <c r="FQ157" s="336"/>
      <c r="FR157" s="336"/>
      <c r="FS157" s="336"/>
      <c r="FT157" s="336"/>
      <c r="FU157" s="336"/>
      <c r="FV157" s="336"/>
      <c r="FW157" s="336"/>
      <c r="FX157" s="336"/>
      <c r="FY157" s="336"/>
      <c r="FZ157" s="336"/>
      <c r="GA157" s="336"/>
      <c r="GB157" s="336"/>
      <c r="GC157" s="336"/>
      <c r="GD157" s="336"/>
      <c r="GE157" s="336"/>
      <c r="GF157" s="336"/>
      <c r="GG157" s="336"/>
      <c r="GH157" s="336"/>
      <c r="GI157" s="336"/>
      <c r="GJ157" s="336"/>
      <c r="GK157" s="336"/>
      <c r="GL157" s="336"/>
      <c r="GM157" s="336"/>
      <c r="GN157" s="336"/>
      <c r="GO157" s="336"/>
      <c r="GP157" s="336"/>
      <c r="GQ157" s="336"/>
      <c r="GR157" s="336"/>
      <c r="GS157" s="336"/>
      <c r="GT157" s="336"/>
      <c r="GU157" s="336"/>
      <c r="GV157" s="336"/>
      <c r="GW157" s="336"/>
      <c r="GX157" s="336"/>
      <c r="GY157" s="336"/>
      <c r="GZ157" s="336"/>
      <c r="HA157" s="336"/>
      <c r="HB157" s="336"/>
      <c r="HC157" s="336"/>
      <c r="HD157" s="336"/>
      <c r="HE157" s="336"/>
      <c r="HF157" s="336"/>
      <c r="HG157" s="336"/>
      <c r="HH157" s="336"/>
      <c r="HI157" s="336"/>
      <c r="HJ157" s="336"/>
      <c r="HK157" s="336"/>
      <c r="HL157" s="336"/>
      <c r="HM157" s="336"/>
      <c r="HN157" s="336"/>
      <c r="HO157" s="336"/>
      <c r="HP157" s="336"/>
      <c r="HQ157" s="336"/>
      <c r="HR157" s="336"/>
      <c r="HS157" s="336"/>
      <c r="HT157" s="336"/>
      <c r="HU157" s="336"/>
      <c r="HV157" s="336"/>
      <c r="HW157" s="336"/>
      <c r="HX157" s="336"/>
      <c r="HY157" s="336"/>
      <c r="HZ157" s="336"/>
      <c r="IA157" s="336"/>
      <c r="IB157" s="336"/>
      <c r="IC157" s="336"/>
      <c r="ID157" s="336"/>
      <c r="IE157" s="336"/>
      <c r="IF157" s="336"/>
      <c r="IG157" s="336"/>
      <c r="IH157" s="336"/>
      <c r="II157" s="336"/>
      <c r="IJ157" s="336"/>
      <c r="IK157" s="336"/>
      <c r="IL157" s="336"/>
      <c r="IM157" s="336"/>
      <c r="IN157" s="336"/>
      <c r="IO157" s="336"/>
      <c r="IP157" s="336"/>
      <c r="IQ157" s="336"/>
      <c r="IR157" s="336"/>
      <c r="IS157" s="336"/>
      <c r="IT157" s="336"/>
      <c r="IU157" s="336"/>
      <c r="IV157" s="336"/>
    </row>
    <row r="158" spans="1:256" ht="15" customHeight="1" thickTop="1">
      <c r="A158" s="214" t="s">
        <v>340</v>
      </c>
      <c r="B158" s="383"/>
      <c r="C158" s="383"/>
      <c r="D158" s="383"/>
      <c r="E158" s="383"/>
      <c r="F158" s="383"/>
      <c r="G158" s="397"/>
      <c r="H158" s="217"/>
      <c r="I158" s="217"/>
      <c r="J158" s="217"/>
      <c r="K158" s="217"/>
      <c r="L158" s="217"/>
      <c r="M158" s="217"/>
      <c r="N158" s="217"/>
      <c r="O158" s="217"/>
    </row>
    <row r="159" spans="1:256" ht="15" customHeight="1">
      <c r="A159" s="101" t="s">
        <v>46</v>
      </c>
      <c r="B159" s="165" t="s">
        <v>47</v>
      </c>
      <c r="C159" s="165" t="s">
        <v>204</v>
      </c>
      <c r="D159" s="165" t="s">
        <v>205</v>
      </c>
      <c r="E159" s="165" t="s">
        <v>206</v>
      </c>
      <c r="F159" s="79" t="s">
        <v>48</v>
      </c>
      <c r="G159" s="120"/>
      <c r="H159" s="217"/>
      <c r="I159" s="217"/>
      <c r="J159" s="217"/>
      <c r="K159" s="217"/>
      <c r="L159" s="217"/>
      <c r="M159" s="217"/>
      <c r="N159" s="217"/>
      <c r="O159" s="217"/>
    </row>
    <row r="160" spans="1:256" ht="15" customHeight="1">
      <c r="A160" s="32">
        <v>1</v>
      </c>
      <c r="B160" s="33">
        <v>9</v>
      </c>
      <c r="C160" s="33">
        <v>0</v>
      </c>
      <c r="D160" s="33">
        <v>0</v>
      </c>
      <c r="E160" s="33">
        <v>0</v>
      </c>
      <c r="F160" s="34">
        <f>SUM(A160:E160)</f>
        <v>10</v>
      </c>
      <c r="G160" s="169" t="s">
        <v>201</v>
      </c>
      <c r="H160" s="217"/>
      <c r="I160" s="217"/>
      <c r="J160" s="217"/>
      <c r="K160" s="217"/>
      <c r="L160" s="217"/>
      <c r="M160" s="217"/>
      <c r="N160" s="217"/>
      <c r="O160" s="217"/>
    </row>
    <row r="161" spans="1:256" ht="15" customHeight="1" thickBot="1">
      <c r="A161" s="35">
        <f>+IF(A160&gt;0,A160/F160,0)</f>
        <v>0.1</v>
      </c>
      <c r="B161" s="36">
        <f>+IF(B160&gt;0,B160/F160,0)</f>
        <v>0.9</v>
      </c>
      <c r="C161" s="36">
        <f>+IF(C160&gt;0,C160/F160,0)</f>
        <v>0</v>
      </c>
      <c r="D161" s="36">
        <f>+IF(D160&gt;0,D160/F160,0)</f>
        <v>0</v>
      </c>
      <c r="E161" s="36">
        <f>+IF(E160&gt;0,E160/F160,0)</f>
        <v>0</v>
      </c>
      <c r="F161" s="37">
        <f>SUM(A161:E161)</f>
        <v>1</v>
      </c>
      <c r="G161" s="170" t="s">
        <v>203</v>
      </c>
      <c r="H161" s="217"/>
      <c r="I161" s="217"/>
      <c r="J161" s="217"/>
      <c r="K161" s="217"/>
      <c r="L161" s="217"/>
      <c r="M161" s="217"/>
      <c r="N161" s="217"/>
      <c r="O161" s="217"/>
    </row>
    <row r="162" spans="1:256" ht="15" customHeight="1" thickTop="1" thickBot="1">
      <c r="A162" s="38">
        <v>2.6</v>
      </c>
      <c r="B162" s="2">
        <v>0.9</v>
      </c>
      <c r="C162" s="2">
        <v>0</v>
      </c>
      <c r="D162" s="2">
        <v>0</v>
      </c>
      <c r="E162" s="39">
        <v>0</v>
      </c>
      <c r="F162" s="40">
        <f>+IF(F160&gt;0,(A160*A162+B160*B162+C160*C162+D160*D162+E160*E162)/F160,0)</f>
        <v>1.0699999999999998</v>
      </c>
      <c r="G162" s="171" t="s">
        <v>41</v>
      </c>
      <c r="H162" s="217"/>
      <c r="I162" s="217"/>
      <c r="J162" s="217"/>
      <c r="K162" s="217"/>
      <c r="L162" s="217"/>
      <c r="M162" s="217"/>
      <c r="N162" s="217"/>
      <c r="O162" s="217"/>
    </row>
    <row r="163" spans="1:256" ht="15" customHeight="1" thickTop="1">
      <c r="A163" s="41">
        <f>+A160*A162</f>
        <v>2.6</v>
      </c>
      <c r="B163" s="42">
        <f t="shared" ref="B163:F163" si="8">+B160*B162</f>
        <v>8.1</v>
      </c>
      <c r="C163" s="42">
        <f t="shared" si="8"/>
        <v>0</v>
      </c>
      <c r="D163" s="42">
        <f t="shared" si="8"/>
        <v>0</v>
      </c>
      <c r="E163" s="42">
        <f t="shared" si="8"/>
        <v>0</v>
      </c>
      <c r="F163" s="43">
        <f t="shared" si="8"/>
        <v>10.7</v>
      </c>
      <c r="G163" s="170" t="s">
        <v>67</v>
      </c>
      <c r="H163" s="217"/>
      <c r="I163" s="217"/>
      <c r="J163" s="217"/>
      <c r="K163" s="217"/>
      <c r="L163" s="217"/>
      <c r="M163" s="217"/>
      <c r="N163" s="217"/>
      <c r="O163" s="217"/>
    </row>
    <row r="164" spans="1:256" ht="15" customHeight="1" thickBot="1">
      <c r="A164" s="44">
        <f>+IF(A163&gt;0,A163/F163,0)</f>
        <v>0.2429906542056075</v>
      </c>
      <c r="B164" s="45">
        <f>+IF(B163&gt;0,B163/F163,0)</f>
        <v>0.7570093457943925</v>
      </c>
      <c r="C164" s="45">
        <f>+IF(C163&gt;0,C163/F163,0)</f>
        <v>0</v>
      </c>
      <c r="D164" s="45">
        <f>+IF(D163&gt;0,D163/F163,0)</f>
        <v>0</v>
      </c>
      <c r="E164" s="45">
        <f>+IF(E163&gt;0,E163/F163,0)</f>
        <v>0</v>
      </c>
      <c r="F164" s="46">
        <f>SUM(A164:E164)</f>
        <v>1</v>
      </c>
      <c r="G164" s="85" t="s">
        <v>202</v>
      </c>
      <c r="H164" s="217"/>
      <c r="I164" s="217"/>
      <c r="J164" s="217"/>
      <c r="K164" s="217"/>
      <c r="L164" s="217"/>
      <c r="M164" s="217"/>
      <c r="N164" s="217"/>
      <c r="O164" s="217"/>
    </row>
    <row r="165" spans="1:256" s="337" customFormat="1" ht="15" customHeight="1" thickTop="1" thickBot="1">
      <c r="A165" s="263"/>
      <c r="B165" s="263"/>
      <c r="C165" s="263"/>
      <c r="D165" s="263"/>
      <c r="E165" s="263"/>
      <c r="F165" s="264"/>
      <c r="G165" s="236"/>
      <c r="H165" s="236"/>
      <c r="I165" s="236"/>
      <c r="J165" s="236"/>
      <c r="K165" s="236"/>
      <c r="L165" s="236"/>
      <c r="M165" s="236"/>
      <c r="N165" s="236"/>
      <c r="O165" s="2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36"/>
      <c r="BJ165" s="336"/>
      <c r="BK165" s="336"/>
      <c r="BL165" s="336"/>
      <c r="BM165" s="336"/>
      <c r="BN165" s="336"/>
      <c r="BO165" s="336"/>
      <c r="BP165" s="336"/>
      <c r="BQ165" s="336"/>
      <c r="BR165" s="336"/>
      <c r="BS165" s="336"/>
      <c r="BT165" s="336"/>
      <c r="BU165" s="336"/>
      <c r="BV165" s="336"/>
      <c r="BW165" s="336"/>
      <c r="BX165" s="336"/>
      <c r="BY165" s="336"/>
      <c r="BZ165" s="336"/>
      <c r="CA165" s="336"/>
      <c r="CB165" s="336"/>
      <c r="CC165" s="336"/>
      <c r="CD165" s="336"/>
      <c r="CE165" s="336"/>
      <c r="CF165" s="336"/>
      <c r="CG165" s="336"/>
      <c r="CH165" s="336"/>
      <c r="CI165" s="336"/>
      <c r="CJ165" s="336"/>
      <c r="CK165" s="336"/>
      <c r="CL165" s="336"/>
      <c r="CM165" s="336"/>
      <c r="CN165" s="336"/>
      <c r="CO165" s="336"/>
      <c r="CP165" s="336"/>
      <c r="CQ165" s="336"/>
      <c r="CR165" s="336"/>
      <c r="CS165" s="336"/>
      <c r="CT165" s="336"/>
      <c r="CU165" s="336"/>
      <c r="CV165" s="336"/>
      <c r="CW165" s="336"/>
      <c r="CX165" s="336"/>
      <c r="CY165" s="336"/>
      <c r="CZ165" s="336"/>
      <c r="DA165" s="336"/>
      <c r="DB165" s="336"/>
      <c r="DC165" s="336"/>
      <c r="DD165" s="336"/>
      <c r="DE165" s="336"/>
      <c r="DF165" s="336"/>
      <c r="DG165" s="336"/>
      <c r="DH165" s="336"/>
      <c r="DI165" s="336"/>
      <c r="DJ165" s="336"/>
      <c r="DK165" s="336"/>
      <c r="DL165" s="336"/>
      <c r="DM165" s="336"/>
      <c r="DN165" s="336"/>
      <c r="DO165" s="336"/>
      <c r="DP165" s="336"/>
      <c r="DQ165" s="336"/>
      <c r="DR165" s="336"/>
      <c r="DS165" s="336"/>
      <c r="DT165" s="336"/>
      <c r="DU165" s="336"/>
      <c r="DV165" s="336"/>
      <c r="DW165" s="336"/>
      <c r="DX165" s="336"/>
      <c r="DY165" s="336"/>
      <c r="DZ165" s="336"/>
      <c r="EA165" s="336"/>
      <c r="EB165" s="336"/>
      <c r="EC165" s="336"/>
      <c r="ED165" s="336"/>
      <c r="EE165" s="336"/>
      <c r="EF165" s="336"/>
      <c r="EG165" s="336"/>
      <c r="EH165" s="336"/>
      <c r="EI165" s="336"/>
      <c r="EJ165" s="336"/>
      <c r="EK165" s="336"/>
      <c r="EL165" s="336"/>
      <c r="EM165" s="336"/>
      <c r="EN165" s="336"/>
      <c r="EO165" s="336"/>
      <c r="EP165" s="336"/>
      <c r="EQ165" s="336"/>
      <c r="ER165" s="336"/>
      <c r="ES165" s="336"/>
      <c r="ET165" s="336"/>
      <c r="EU165" s="336"/>
      <c r="EV165" s="336"/>
      <c r="EW165" s="336"/>
      <c r="EX165" s="336"/>
      <c r="EY165" s="336"/>
      <c r="EZ165" s="336"/>
      <c r="FA165" s="336"/>
      <c r="FB165" s="336"/>
      <c r="FC165" s="336"/>
      <c r="FD165" s="336"/>
      <c r="FE165" s="336"/>
      <c r="FF165" s="336"/>
      <c r="FG165" s="336"/>
      <c r="FH165" s="336"/>
      <c r="FI165" s="336"/>
      <c r="FJ165" s="336"/>
      <c r="FK165" s="336"/>
      <c r="FL165" s="336"/>
      <c r="FM165" s="336"/>
      <c r="FN165" s="336"/>
      <c r="FO165" s="336"/>
      <c r="FP165" s="336"/>
      <c r="FQ165" s="336"/>
      <c r="FR165" s="336"/>
      <c r="FS165" s="336"/>
      <c r="FT165" s="336"/>
      <c r="FU165" s="336"/>
      <c r="FV165" s="336"/>
      <c r="FW165" s="336"/>
      <c r="FX165" s="336"/>
      <c r="FY165" s="336"/>
      <c r="FZ165" s="336"/>
      <c r="GA165" s="336"/>
      <c r="GB165" s="336"/>
      <c r="GC165" s="336"/>
      <c r="GD165" s="336"/>
      <c r="GE165" s="336"/>
      <c r="GF165" s="336"/>
      <c r="GG165" s="336"/>
      <c r="GH165" s="336"/>
      <c r="GI165" s="336"/>
      <c r="GJ165" s="336"/>
      <c r="GK165" s="336"/>
      <c r="GL165" s="336"/>
      <c r="GM165" s="336"/>
      <c r="GN165" s="336"/>
      <c r="GO165" s="336"/>
      <c r="GP165" s="336"/>
      <c r="GQ165" s="336"/>
      <c r="GR165" s="336"/>
      <c r="GS165" s="336"/>
      <c r="GT165" s="336"/>
      <c r="GU165" s="336"/>
      <c r="GV165" s="336"/>
      <c r="GW165" s="336"/>
      <c r="GX165" s="336"/>
      <c r="GY165" s="336"/>
      <c r="GZ165" s="336"/>
      <c r="HA165" s="336"/>
      <c r="HB165" s="336"/>
      <c r="HC165" s="336"/>
      <c r="HD165" s="336"/>
      <c r="HE165" s="336"/>
      <c r="HF165" s="336"/>
      <c r="HG165" s="336"/>
      <c r="HH165" s="336"/>
      <c r="HI165" s="336"/>
      <c r="HJ165" s="336"/>
      <c r="HK165" s="336"/>
      <c r="HL165" s="336"/>
      <c r="HM165" s="336"/>
      <c r="HN165" s="336"/>
      <c r="HO165" s="336"/>
      <c r="HP165" s="336"/>
      <c r="HQ165" s="336"/>
      <c r="HR165" s="336"/>
      <c r="HS165" s="336"/>
      <c r="HT165" s="336"/>
      <c r="HU165" s="336"/>
      <c r="HV165" s="336"/>
      <c r="HW165" s="336"/>
      <c r="HX165" s="336"/>
      <c r="HY165" s="336"/>
      <c r="HZ165" s="336"/>
      <c r="IA165" s="336"/>
      <c r="IB165" s="336"/>
      <c r="IC165" s="336"/>
      <c r="ID165" s="336"/>
      <c r="IE165" s="336"/>
      <c r="IF165" s="336"/>
      <c r="IG165" s="336"/>
      <c r="IH165" s="336"/>
      <c r="II165" s="336"/>
      <c r="IJ165" s="336"/>
      <c r="IK165" s="336"/>
      <c r="IL165" s="336"/>
      <c r="IM165" s="336"/>
      <c r="IN165" s="336"/>
      <c r="IO165" s="336"/>
      <c r="IP165" s="336"/>
      <c r="IQ165" s="336"/>
      <c r="IR165" s="336"/>
      <c r="IS165" s="336"/>
      <c r="IT165" s="336"/>
      <c r="IU165" s="336"/>
      <c r="IV165" s="336"/>
    </row>
    <row r="166" spans="1:256" ht="15" customHeight="1" thickTop="1">
      <c r="A166" s="135" t="s">
        <v>193</v>
      </c>
      <c r="B166" s="140"/>
      <c r="C166" s="140"/>
      <c r="D166" s="140"/>
      <c r="E166" s="111"/>
      <c r="F166" s="111"/>
      <c r="G166" s="141"/>
      <c r="H166" s="217"/>
      <c r="I166" s="217"/>
      <c r="J166" s="217"/>
      <c r="K166" s="217"/>
      <c r="L166" s="217"/>
      <c r="M166" s="217"/>
      <c r="N166" s="217"/>
      <c r="O166" s="217"/>
    </row>
    <row r="167" spans="1:256" ht="15" customHeight="1">
      <c r="A167" s="166" t="s">
        <v>194</v>
      </c>
      <c r="B167" s="167" t="s">
        <v>197</v>
      </c>
      <c r="C167" s="167" t="s">
        <v>195</v>
      </c>
      <c r="D167" s="168" t="s">
        <v>49</v>
      </c>
      <c r="E167" s="165" t="s">
        <v>271</v>
      </c>
      <c r="F167" s="165" t="s">
        <v>68</v>
      </c>
      <c r="G167" s="100" t="s">
        <v>68</v>
      </c>
      <c r="H167" s="217"/>
      <c r="I167" s="217"/>
      <c r="J167" s="217"/>
      <c r="K167" s="217"/>
      <c r="L167" s="217"/>
      <c r="M167" s="217"/>
      <c r="N167" s="217"/>
      <c r="O167" s="217"/>
    </row>
    <row r="168" spans="1:256" ht="15" customHeight="1" thickBot="1">
      <c r="A168" s="113" t="s">
        <v>40</v>
      </c>
      <c r="B168" s="114" t="s">
        <v>40</v>
      </c>
      <c r="C168" s="114" t="s">
        <v>40</v>
      </c>
      <c r="D168" s="114" t="s">
        <v>196</v>
      </c>
      <c r="E168" s="114" t="s">
        <v>256</v>
      </c>
      <c r="F168" s="114" t="s">
        <v>272</v>
      </c>
      <c r="G168" s="117" t="s">
        <v>67</v>
      </c>
      <c r="H168" s="217"/>
      <c r="I168" s="217"/>
      <c r="J168" s="217"/>
      <c r="K168" s="217"/>
      <c r="L168" s="217"/>
      <c r="M168" s="217"/>
      <c r="N168" s="217"/>
      <c r="O168" s="217"/>
    </row>
    <row r="169" spans="1:256" ht="15" customHeight="1" thickTop="1" thickBot="1">
      <c r="A169" s="47">
        <v>700</v>
      </c>
      <c r="B169" s="12">
        <v>400</v>
      </c>
      <c r="C169" s="12">
        <v>350</v>
      </c>
      <c r="D169" s="50">
        <f>+(((A169/200)^2)*3.1416)*(B169/100+C169/300)</f>
        <v>198.83710000000002</v>
      </c>
      <c r="E169" s="48">
        <v>0.45</v>
      </c>
      <c r="F169" s="49">
        <v>0.97</v>
      </c>
      <c r="G169" s="370">
        <f>+D169*0.45</f>
        <v>89.476695000000007</v>
      </c>
      <c r="H169" s="217"/>
      <c r="I169" s="217"/>
      <c r="J169" s="217"/>
      <c r="K169" s="217"/>
      <c r="L169" s="217"/>
      <c r="M169" s="217"/>
      <c r="N169" s="217"/>
      <c r="O169" s="217"/>
    </row>
    <row r="170" spans="1:256" s="337" customFormat="1" ht="15" customHeight="1" thickTop="1" thickBot="1">
      <c r="A170" s="219"/>
      <c r="B170" s="248"/>
      <c r="C170" s="248"/>
      <c r="D170" s="265"/>
      <c r="E170" s="266"/>
      <c r="F170" s="267"/>
      <c r="G170" s="268"/>
      <c r="H170" s="236"/>
      <c r="I170" s="236"/>
      <c r="J170" s="236"/>
      <c r="K170" s="236"/>
      <c r="L170" s="236"/>
      <c r="M170" s="236"/>
      <c r="N170" s="236"/>
      <c r="O170" s="236"/>
      <c r="P170" s="336"/>
      <c r="Q170" s="336"/>
      <c r="R170" s="336"/>
      <c r="S170" s="336"/>
      <c r="T170" s="336"/>
      <c r="U170" s="336"/>
      <c r="V170" s="336"/>
      <c r="W170" s="336"/>
      <c r="X170" s="336"/>
      <c r="Y170" s="336"/>
      <c r="Z170" s="336"/>
      <c r="AA170" s="336"/>
      <c r="AB170" s="336"/>
      <c r="AC170" s="336"/>
      <c r="AD170" s="336"/>
      <c r="AE170" s="336"/>
      <c r="AF170" s="336"/>
      <c r="AG170" s="336"/>
      <c r="AH170" s="336"/>
      <c r="AI170" s="336"/>
      <c r="AJ170" s="336"/>
      <c r="AK170" s="336"/>
      <c r="AL170" s="336"/>
      <c r="AM170" s="336"/>
      <c r="AN170" s="336"/>
      <c r="AO170" s="336"/>
      <c r="AP170" s="336"/>
      <c r="AQ170" s="336"/>
      <c r="AR170" s="336"/>
      <c r="AS170" s="336"/>
      <c r="AT170" s="336"/>
      <c r="AU170" s="336"/>
      <c r="AV170" s="336"/>
      <c r="AW170" s="336"/>
      <c r="AX170" s="336"/>
      <c r="AY170" s="336"/>
      <c r="AZ170" s="336"/>
      <c r="BA170" s="336"/>
      <c r="BB170" s="336"/>
      <c r="BC170" s="336"/>
      <c r="BD170" s="336"/>
      <c r="BE170" s="336"/>
      <c r="BF170" s="336"/>
      <c r="BG170" s="336"/>
      <c r="BH170" s="336"/>
      <c r="BI170" s="336"/>
      <c r="BJ170" s="336"/>
      <c r="BK170" s="336"/>
      <c r="BL170" s="336"/>
      <c r="BM170" s="336"/>
      <c r="BN170" s="336"/>
      <c r="BO170" s="336"/>
      <c r="BP170" s="336"/>
      <c r="BQ170" s="336"/>
      <c r="BR170" s="336"/>
      <c r="BS170" s="336"/>
      <c r="BT170" s="336"/>
      <c r="BU170" s="336"/>
      <c r="BV170" s="336"/>
      <c r="BW170" s="336"/>
      <c r="BX170" s="336"/>
      <c r="BY170" s="336"/>
      <c r="BZ170" s="336"/>
      <c r="CA170" s="336"/>
      <c r="CB170" s="336"/>
      <c r="CC170" s="336"/>
      <c r="CD170" s="336"/>
      <c r="CE170" s="336"/>
      <c r="CF170" s="336"/>
      <c r="CG170" s="336"/>
      <c r="CH170" s="336"/>
      <c r="CI170" s="336"/>
      <c r="CJ170" s="336"/>
      <c r="CK170" s="336"/>
      <c r="CL170" s="336"/>
      <c r="CM170" s="336"/>
      <c r="CN170" s="336"/>
      <c r="CO170" s="336"/>
      <c r="CP170" s="336"/>
      <c r="CQ170" s="336"/>
      <c r="CR170" s="336"/>
      <c r="CS170" s="336"/>
      <c r="CT170" s="336"/>
      <c r="CU170" s="336"/>
      <c r="CV170" s="336"/>
      <c r="CW170" s="336"/>
      <c r="CX170" s="336"/>
      <c r="CY170" s="336"/>
      <c r="CZ170" s="336"/>
      <c r="DA170" s="336"/>
      <c r="DB170" s="336"/>
      <c r="DC170" s="336"/>
      <c r="DD170" s="336"/>
      <c r="DE170" s="336"/>
      <c r="DF170" s="336"/>
      <c r="DG170" s="336"/>
      <c r="DH170" s="336"/>
      <c r="DI170" s="336"/>
      <c r="DJ170" s="336"/>
      <c r="DK170" s="336"/>
      <c r="DL170" s="336"/>
      <c r="DM170" s="336"/>
      <c r="DN170" s="336"/>
      <c r="DO170" s="336"/>
      <c r="DP170" s="336"/>
      <c r="DQ170" s="336"/>
      <c r="DR170" s="336"/>
      <c r="DS170" s="336"/>
      <c r="DT170" s="336"/>
      <c r="DU170" s="336"/>
      <c r="DV170" s="336"/>
      <c r="DW170" s="336"/>
      <c r="DX170" s="336"/>
      <c r="DY170" s="336"/>
      <c r="DZ170" s="336"/>
      <c r="EA170" s="336"/>
      <c r="EB170" s="336"/>
      <c r="EC170" s="336"/>
      <c r="ED170" s="336"/>
      <c r="EE170" s="336"/>
      <c r="EF170" s="336"/>
      <c r="EG170" s="336"/>
      <c r="EH170" s="336"/>
      <c r="EI170" s="336"/>
      <c r="EJ170" s="336"/>
      <c r="EK170" s="336"/>
      <c r="EL170" s="336"/>
      <c r="EM170" s="336"/>
      <c r="EN170" s="336"/>
      <c r="EO170" s="336"/>
      <c r="EP170" s="336"/>
      <c r="EQ170" s="336"/>
      <c r="ER170" s="336"/>
      <c r="ES170" s="336"/>
      <c r="ET170" s="336"/>
      <c r="EU170" s="336"/>
      <c r="EV170" s="336"/>
      <c r="EW170" s="336"/>
      <c r="EX170" s="336"/>
      <c r="EY170" s="336"/>
      <c r="EZ170" s="336"/>
      <c r="FA170" s="336"/>
      <c r="FB170" s="336"/>
      <c r="FC170" s="336"/>
      <c r="FD170" s="336"/>
      <c r="FE170" s="336"/>
      <c r="FF170" s="336"/>
      <c r="FG170" s="336"/>
      <c r="FH170" s="336"/>
      <c r="FI170" s="336"/>
      <c r="FJ170" s="336"/>
      <c r="FK170" s="336"/>
      <c r="FL170" s="336"/>
      <c r="FM170" s="336"/>
      <c r="FN170" s="336"/>
      <c r="FO170" s="336"/>
      <c r="FP170" s="336"/>
      <c r="FQ170" s="336"/>
      <c r="FR170" s="336"/>
      <c r="FS170" s="336"/>
      <c r="FT170" s="336"/>
      <c r="FU170" s="336"/>
      <c r="FV170" s="336"/>
      <c r="FW170" s="336"/>
      <c r="FX170" s="336"/>
      <c r="FY170" s="336"/>
      <c r="FZ170" s="336"/>
      <c r="GA170" s="336"/>
      <c r="GB170" s="336"/>
      <c r="GC170" s="336"/>
      <c r="GD170" s="336"/>
      <c r="GE170" s="336"/>
      <c r="GF170" s="336"/>
      <c r="GG170" s="336"/>
      <c r="GH170" s="336"/>
      <c r="GI170" s="336"/>
      <c r="GJ170" s="336"/>
      <c r="GK170" s="336"/>
      <c r="GL170" s="336"/>
      <c r="GM170" s="336"/>
      <c r="GN170" s="336"/>
      <c r="GO170" s="336"/>
      <c r="GP170" s="336"/>
      <c r="GQ170" s="336"/>
      <c r="GR170" s="336"/>
      <c r="GS170" s="336"/>
      <c r="GT170" s="336"/>
      <c r="GU170" s="336"/>
      <c r="GV170" s="336"/>
      <c r="GW170" s="336"/>
      <c r="GX170" s="336"/>
      <c r="GY170" s="336"/>
      <c r="GZ170" s="336"/>
      <c r="HA170" s="336"/>
      <c r="HB170" s="336"/>
      <c r="HC170" s="336"/>
      <c r="HD170" s="336"/>
      <c r="HE170" s="336"/>
      <c r="HF170" s="336"/>
      <c r="HG170" s="336"/>
      <c r="HH170" s="336"/>
      <c r="HI170" s="336"/>
      <c r="HJ170" s="336"/>
      <c r="HK170" s="336"/>
      <c r="HL170" s="336"/>
      <c r="HM170" s="336"/>
      <c r="HN170" s="336"/>
      <c r="HO170" s="336"/>
      <c r="HP170" s="336"/>
      <c r="HQ170" s="336"/>
      <c r="HR170" s="336"/>
      <c r="HS170" s="336"/>
      <c r="HT170" s="336"/>
      <c r="HU170" s="336"/>
      <c r="HV170" s="336"/>
      <c r="HW170" s="336"/>
      <c r="HX170" s="336"/>
      <c r="HY170" s="336"/>
      <c r="HZ170" s="336"/>
      <c r="IA170" s="336"/>
      <c r="IB170" s="336"/>
      <c r="IC170" s="336"/>
      <c r="ID170" s="336"/>
      <c r="IE170" s="336"/>
      <c r="IF170" s="336"/>
      <c r="IG170" s="336"/>
      <c r="IH170" s="336"/>
      <c r="II170" s="336"/>
      <c r="IJ170" s="336"/>
      <c r="IK170" s="336"/>
      <c r="IL170" s="336"/>
      <c r="IM170" s="336"/>
      <c r="IN170" s="336"/>
      <c r="IO170" s="336"/>
      <c r="IP170" s="336"/>
      <c r="IQ170" s="336"/>
      <c r="IR170" s="336"/>
      <c r="IS170" s="336"/>
      <c r="IT170" s="336"/>
      <c r="IU170" s="336"/>
      <c r="IV170" s="336"/>
    </row>
    <row r="171" spans="1:256" ht="15" customHeight="1" thickTop="1">
      <c r="A171" s="135" t="s">
        <v>270</v>
      </c>
      <c r="B171" s="140"/>
      <c r="C171" s="140"/>
      <c r="D171" s="140"/>
      <c r="E171" s="111"/>
      <c r="F171" s="111"/>
      <c r="G171" s="141"/>
      <c r="H171" s="217"/>
      <c r="I171" s="217"/>
      <c r="J171" s="217"/>
      <c r="K171" s="217"/>
      <c r="L171" s="217"/>
      <c r="M171" s="217"/>
      <c r="N171" s="217"/>
      <c r="O171" s="217"/>
    </row>
    <row r="172" spans="1:256" ht="15" customHeight="1">
      <c r="A172" s="101" t="s">
        <v>198</v>
      </c>
      <c r="B172" s="165" t="s">
        <v>199</v>
      </c>
      <c r="C172" s="165" t="s">
        <v>200</v>
      </c>
      <c r="D172" s="165" t="s">
        <v>49</v>
      </c>
      <c r="E172" s="165" t="s">
        <v>271</v>
      </c>
      <c r="F172" s="165" t="s">
        <v>68</v>
      </c>
      <c r="G172" s="100" t="s">
        <v>68</v>
      </c>
      <c r="H172" s="217"/>
      <c r="I172" s="217"/>
      <c r="J172" s="217"/>
      <c r="K172" s="217"/>
      <c r="L172" s="217"/>
      <c r="M172" s="217"/>
      <c r="N172" s="217"/>
      <c r="O172" s="217"/>
    </row>
    <row r="173" spans="1:256" ht="15" customHeight="1" thickBot="1">
      <c r="A173" s="113" t="s">
        <v>40</v>
      </c>
      <c r="B173" s="114" t="s">
        <v>40</v>
      </c>
      <c r="C173" s="114" t="s">
        <v>40</v>
      </c>
      <c r="D173" s="114" t="s">
        <v>196</v>
      </c>
      <c r="E173" s="114" t="s">
        <v>256</v>
      </c>
      <c r="F173" s="114" t="s">
        <v>272</v>
      </c>
      <c r="G173" s="117" t="s">
        <v>67</v>
      </c>
      <c r="H173" s="217"/>
      <c r="I173" s="217"/>
      <c r="J173" s="217"/>
      <c r="K173" s="217"/>
      <c r="L173" s="217"/>
      <c r="M173" s="217"/>
      <c r="N173" s="217"/>
      <c r="O173" s="217"/>
    </row>
    <row r="174" spans="1:256" ht="15" customHeight="1" thickTop="1" thickBot="1">
      <c r="A174" s="47">
        <v>700</v>
      </c>
      <c r="B174" s="12">
        <v>400</v>
      </c>
      <c r="C174" s="12">
        <v>350</v>
      </c>
      <c r="D174" s="50">
        <f>+((A174/100)^2)*(B174/100+C174/300)</f>
        <v>253.16666666666669</v>
      </c>
      <c r="E174" s="48">
        <v>0.45</v>
      </c>
      <c r="F174" s="49">
        <v>0.97</v>
      </c>
      <c r="G174" s="51">
        <f>+D174*E174*F174</f>
        <v>110.50725000000001</v>
      </c>
      <c r="H174" s="217"/>
      <c r="I174" s="217"/>
      <c r="J174" s="217"/>
      <c r="K174" s="217"/>
      <c r="L174" s="217"/>
      <c r="M174" s="217"/>
      <c r="N174" s="217"/>
      <c r="O174" s="217"/>
    </row>
    <row r="175" spans="1:256" s="337" customFormat="1" ht="15" customHeight="1" thickTop="1" thickBot="1">
      <c r="A175" s="219"/>
      <c r="B175" s="248"/>
      <c r="C175" s="248"/>
      <c r="D175" s="269"/>
      <c r="E175" s="266"/>
      <c r="F175" s="267"/>
      <c r="G175" s="234"/>
      <c r="H175" s="236"/>
      <c r="I175" s="236"/>
      <c r="J175" s="236"/>
      <c r="K175" s="236"/>
      <c r="L175" s="236"/>
      <c r="M175" s="236"/>
      <c r="N175" s="236"/>
      <c r="O175" s="236"/>
      <c r="P175" s="336"/>
      <c r="Q175" s="336"/>
      <c r="R175" s="336"/>
      <c r="S175" s="336"/>
      <c r="T175" s="336"/>
      <c r="U175" s="336"/>
      <c r="V175" s="336"/>
      <c r="W175" s="336"/>
      <c r="X175" s="336"/>
      <c r="Y175" s="336"/>
      <c r="Z175" s="336"/>
      <c r="AA175" s="336"/>
      <c r="AB175" s="336"/>
      <c r="AC175" s="336"/>
      <c r="AD175" s="336"/>
      <c r="AE175" s="336"/>
      <c r="AF175" s="336"/>
      <c r="AG175" s="336"/>
      <c r="AH175" s="336"/>
      <c r="AI175" s="336"/>
      <c r="AJ175" s="336"/>
      <c r="AK175" s="336"/>
      <c r="AL175" s="336"/>
      <c r="AM175" s="336"/>
      <c r="AN175" s="336"/>
      <c r="AO175" s="336"/>
      <c r="AP175" s="336"/>
      <c r="AQ175" s="336"/>
      <c r="AR175" s="336"/>
      <c r="AS175" s="336"/>
      <c r="AT175" s="336"/>
      <c r="AU175" s="336"/>
      <c r="AV175" s="336"/>
      <c r="AW175" s="336"/>
      <c r="AX175" s="336"/>
      <c r="AY175" s="336"/>
      <c r="AZ175" s="336"/>
      <c r="BA175" s="336"/>
      <c r="BB175" s="336"/>
      <c r="BC175" s="336"/>
      <c r="BD175" s="336"/>
      <c r="BE175" s="336"/>
      <c r="BF175" s="336"/>
      <c r="BG175" s="336"/>
      <c r="BH175" s="336"/>
      <c r="BI175" s="336"/>
      <c r="BJ175" s="336"/>
      <c r="BK175" s="336"/>
      <c r="BL175" s="336"/>
      <c r="BM175" s="336"/>
      <c r="BN175" s="336"/>
      <c r="BO175" s="336"/>
      <c r="BP175" s="336"/>
      <c r="BQ175" s="336"/>
      <c r="BR175" s="336"/>
      <c r="BS175" s="336"/>
      <c r="BT175" s="336"/>
      <c r="BU175" s="336"/>
      <c r="BV175" s="336"/>
      <c r="BW175" s="336"/>
      <c r="BX175" s="336"/>
      <c r="BY175" s="336"/>
      <c r="BZ175" s="336"/>
      <c r="CA175" s="336"/>
      <c r="CB175" s="336"/>
      <c r="CC175" s="336"/>
      <c r="CD175" s="336"/>
      <c r="CE175" s="336"/>
      <c r="CF175" s="336"/>
      <c r="CG175" s="336"/>
      <c r="CH175" s="336"/>
      <c r="CI175" s="336"/>
      <c r="CJ175" s="336"/>
      <c r="CK175" s="336"/>
      <c r="CL175" s="336"/>
      <c r="CM175" s="336"/>
      <c r="CN175" s="336"/>
      <c r="CO175" s="336"/>
      <c r="CP175" s="336"/>
      <c r="CQ175" s="336"/>
      <c r="CR175" s="336"/>
      <c r="CS175" s="336"/>
      <c r="CT175" s="336"/>
      <c r="CU175" s="336"/>
      <c r="CV175" s="336"/>
      <c r="CW175" s="336"/>
      <c r="CX175" s="336"/>
      <c r="CY175" s="336"/>
      <c r="CZ175" s="336"/>
      <c r="DA175" s="336"/>
      <c r="DB175" s="336"/>
      <c r="DC175" s="336"/>
      <c r="DD175" s="336"/>
      <c r="DE175" s="336"/>
      <c r="DF175" s="336"/>
      <c r="DG175" s="336"/>
      <c r="DH175" s="336"/>
      <c r="DI175" s="336"/>
      <c r="DJ175" s="336"/>
      <c r="DK175" s="336"/>
      <c r="DL175" s="336"/>
      <c r="DM175" s="336"/>
      <c r="DN175" s="336"/>
      <c r="DO175" s="336"/>
      <c r="DP175" s="336"/>
      <c r="DQ175" s="336"/>
      <c r="DR175" s="336"/>
      <c r="DS175" s="336"/>
      <c r="DT175" s="336"/>
      <c r="DU175" s="336"/>
      <c r="DV175" s="336"/>
      <c r="DW175" s="336"/>
      <c r="DX175" s="336"/>
      <c r="DY175" s="336"/>
      <c r="DZ175" s="336"/>
      <c r="EA175" s="336"/>
      <c r="EB175" s="336"/>
      <c r="EC175" s="336"/>
      <c r="ED175" s="336"/>
      <c r="EE175" s="336"/>
      <c r="EF175" s="336"/>
      <c r="EG175" s="336"/>
      <c r="EH175" s="336"/>
      <c r="EI175" s="336"/>
      <c r="EJ175" s="336"/>
      <c r="EK175" s="336"/>
      <c r="EL175" s="336"/>
      <c r="EM175" s="336"/>
      <c r="EN175" s="336"/>
      <c r="EO175" s="336"/>
      <c r="EP175" s="336"/>
      <c r="EQ175" s="336"/>
      <c r="ER175" s="336"/>
      <c r="ES175" s="336"/>
      <c r="ET175" s="336"/>
      <c r="EU175" s="336"/>
      <c r="EV175" s="336"/>
      <c r="EW175" s="336"/>
      <c r="EX175" s="336"/>
      <c r="EY175" s="336"/>
      <c r="EZ175" s="336"/>
      <c r="FA175" s="336"/>
      <c r="FB175" s="336"/>
      <c r="FC175" s="336"/>
      <c r="FD175" s="336"/>
      <c r="FE175" s="336"/>
      <c r="FF175" s="336"/>
      <c r="FG175" s="336"/>
      <c r="FH175" s="336"/>
      <c r="FI175" s="336"/>
      <c r="FJ175" s="336"/>
      <c r="FK175" s="336"/>
      <c r="FL175" s="336"/>
      <c r="FM175" s="336"/>
      <c r="FN175" s="336"/>
      <c r="FO175" s="336"/>
      <c r="FP175" s="336"/>
      <c r="FQ175" s="336"/>
      <c r="FR175" s="336"/>
      <c r="FS175" s="336"/>
      <c r="FT175" s="336"/>
      <c r="FU175" s="336"/>
      <c r="FV175" s="336"/>
      <c r="FW175" s="336"/>
      <c r="FX175" s="336"/>
      <c r="FY175" s="336"/>
      <c r="FZ175" s="336"/>
      <c r="GA175" s="336"/>
      <c r="GB175" s="336"/>
      <c r="GC175" s="336"/>
      <c r="GD175" s="336"/>
      <c r="GE175" s="336"/>
      <c r="GF175" s="336"/>
      <c r="GG175" s="336"/>
      <c r="GH175" s="336"/>
      <c r="GI175" s="336"/>
      <c r="GJ175" s="336"/>
      <c r="GK175" s="336"/>
      <c r="GL175" s="336"/>
      <c r="GM175" s="336"/>
      <c r="GN175" s="336"/>
      <c r="GO175" s="336"/>
      <c r="GP175" s="336"/>
      <c r="GQ175" s="336"/>
      <c r="GR175" s="336"/>
      <c r="GS175" s="336"/>
      <c r="GT175" s="336"/>
      <c r="GU175" s="336"/>
      <c r="GV175" s="336"/>
      <c r="GW175" s="336"/>
      <c r="GX175" s="336"/>
      <c r="GY175" s="336"/>
      <c r="GZ175" s="336"/>
      <c r="HA175" s="336"/>
      <c r="HB175" s="336"/>
      <c r="HC175" s="336"/>
      <c r="HD175" s="336"/>
      <c r="HE175" s="336"/>
      <c r="HF175" s="336"/>
      <c r="HG175" s="336"/>
      <c r="HH175" s="336"/>
      <c r="HI175" s="336"/>
      <c r="HJ175" s="336"/>
      <c r="HK175" s="336"/>
      <c r="HL175" s="336"/>
      <c r="HM175" s="336"/>
      <c r="HN175" s="336"/>
      <c r="HO175" s="336"/>
      <c r="HP175" s="336"/>
      <c r="HQ175" s="336"/>
      <c r="HR175" s="336"/>
      <c r="HS175" s="336"/>
      <c r="HT175" s="336"/>
      <c r="HU175" s="336"/>
      <c r="HV175" s="336"/>
      <c r="HW175" s="336"/>
      <c r="HX175" s="336"/>
      <c r="HY175" s="336"/>
      <c r="HZ175" s="336"/>
      <c r="IA175" s="336"/>
      <c r="IB175" s="336"/>
      <c r="IC175" s="336"/>
      <c r="ID175" s="336"/>
      <c r="IE175" s="336"/>
      <c r="IF175" s="336"/>
      <c r="IG175" s="336"/>
      <c r="IH175" s="336"/>
      <c r="II175" s="336"/>
      <c r="IJ175" s="336"/>
      <c r="IK175" s="336"/>
      <c r="IL175" s="336"/>
      <c r="IM175" s="336"/>
      <c r="IN175" s="336"/>
      <c r="IO175" s="336"/>
      <c r="IP175" s="336"/>
      <c r="IQ175" s="336"/>
      <c r="IR175" s="336"/>
      <c r="IS175" s="336"/>
      <c r="IT175" s="336"/>
      <c r="IU175" s="336"/>
      <c r="IV175" s="336"/>
    </row>
    <row r="176" spans="1:256" ht="15" customHeight="1" thickTop="1">
      <c r="A176" s="162"/>
      <c r="B176" s="163"/>
      <c r="C176" s="383" t="s">
        <v>344</v>
      </c>
      <c r="D176" s="158"/>
      <c r="E176" s="158"/>
      <c r="F176" s="158"/>
      <c r="G176" s="158"/>
      <c r="H176" s="158"/>
      <c r="I176" s="159"/>
      <c r="J176" s="217"/>
      <c r="K176" s="217"/>
      <c r="L176" s="217"/>
      <c r="M176" s="217"/>
      <c r="N176" s="217"/>
      <c r="O176" s="217"/>
    </row>
    <row r="177" spans="1:15" ht="15" customHeight="1">
      <c r="A177" s="147" t="s">
        <v>129</v>
      </c>
      <c r="B177" s="148"/>
      <c r="C177" s="148"/>
      <c r="D177" s="148"/>
      <c r="E177" s="148"/>
      <c r="F177" s="148"/>
      <c r="G177" s="148"/>
      <c r="H177" s="148"/>
      <c r="I177" s="149"/>
      <c r="J177" s="217"/>
      <c r="K177" s="217"/>
      <c r="L177" s="217"/>
      <c r="M177" s="217"/>
      <c r="N177" s="217"/>
      <c r="O177" s="217"/>
    </row>
    <row r="178" spans="1:15" ht="15" customHeight="1">
      <c r="A178" s="164" t="s">
        <v>160</v>
      </c>
      <c r="B178" s="160" t="s">
        <v>130</v>
      </c>
      <c r="C178" s="160" t="s">
        <v>161</v>
      </c>
      <c r="D178" s="160" t="s">
        <v>165</v>
      </c>
      <c r="E178" s="160" t="s">
        <v>131</v>
      </c>
      <c r="F178" s="160" t="s">
        <v>60</v>
      </c>
      <c r="G178" s="160" t="s">
        <v>105</v>
      </c>
      <c r="H178" s="148"/>
      <c r="I178" s="149"/>
      <c r="J178" s="217"/>
      <c r="K178" s="217"/>
      <c r="L178" s="217"/>
      <c r="M178" s="217"/>
      <c r="N178" s="217"/>
      <c r="O178" s="217"/>
    </row>
    <row r="179" spans="1:15" ht="15" customHeight="1">
      <c r="A179" s="164"/>
      <c r="B179" s="160"/>
      <c r="C179" s="160" t="s">
        <v>132</v>
      </c>
      <c r="D179" s="160" t="s">
        <v>133</v>
      </c>
      <c r="E179" s="160"/>
      <c r="F179" s="160" t="s">
        <v>134</v>
      </c>
      <c r="G179" s="160" t="s">
        <v>135</v>
      </c>
      <c r="H179" s="148"/>
      <c r="I179" s="149"/>
      <c r="J179" s="217"/>
      <c r="K179" s="217"/>
      <c r="L179" s="217"/>
      <c r="M179" s="217"/>
      <c r="N179" s="217"/>
      <c r="O179" s="217"/>
    </row>
    <row r="180" spans="1:15" ht="15" customHeight="1">
      <c r="A180" s="150" t="s">
        <v>40</v>
      </c>
      <c r="B180" s="151"/>
      <c r="C180" s="151" t="s">
        <v>163</v>
      </c>
      <c r="D180" s="151" t="s">
        <v>163</v>
      </c>
      <c r="E180" s="151" t="s">
        <v>163</v>
      </c>
      <c r="F180" s="151" t="s">
        <v>163</v>
      </c>
      <c r="G180" s="151" t="s">
        <v>163</v>
      </c>
      <c r="H180" s="161" t="s">
        <v>164</v>
      </c>
      <c r="I180" s="149"/>
      <c r="J180" s="217"/>
      <c r="K180" s="217"/>
      <c r="L180" s="217"/>
      <c r="M180" s="217"/>
      <c r="N180" s="217"/>
      <c r="O180" s="217"/>
    </row>
    <row r="181" spans="1:15" ht="15" customHeight="1">
      <c r="A181" s="387">
        <v>50</v>
      </c>
      <c r="B181" s="388">
        <v>22</v>
      </c>
      <c r="C181" s="389">
        <f>+A181*0.75</f>
        <v>37.5</v>
      </c>
      <c r="D181" s="389">
        <f>+A181*0.12</f>
        <v>6</v>
      </c>
      <c r="E181" s="389">
        <f>+A181</f>
        <v>50</v>
      </c>
      <c r="F181" s="389">
        <f>+A181*B181</f>
        <v>1100</v>
      </c>
      <c r="G181" s="389">
        <f>+A181*5</f>
        <v>250</v>
      </c>
      <c r="H181" s="148"/>
      <c r="I181" s="149"/>
      <c r="J181" s="217"/>
      <c r="K181" s="217"/>
      <c r="L181" s="217"/>
      <c r="M181" s="217"/>
      <c r="N181" s="217"/>
      <c r="O181" s="217"/>
    </row>
    <row r="182" spans="1:15" ht="15" customHeight="1">
      <c r="A182" s="147" t="s">
        <v>136</v>
      </c>
      <c r="B182" s="148"/>
      <c r="C182" s="148"/>
      <c r="D182" s="148"/>
      <c r="E182" s="148"/>
      <c r="F182" s="148"/>
      <c r="G182" s="148"/>
      <c r="H182" s="148"/>
      <c r="I182" s="149"/>
      <c r="J182" s="217"/>
      <c r="K182" s="217"/>
      <c r="L182" s="217"/>
      <c r="M182" s="217"/>
      <c r="N182" s="217"/>
      <c r="O182" s="217"/>
    </row>
    <row r="183" spans="1:15" ht="15" customHeight="1">
      <c r="A183" s="150" t="s">
        <v>137</v>
      </c>
      <c r="B183" s="151" t="s">
        <v>138</v>
      </c>
      <c r="C183" s="151" t="s">
        <v>139</v>
      </c>
      <c r="D183" s="151" t="s">
        <v>49</v>
      </c>
      <c r="E183" s="151" t="s">
        <v>140</v>
      </c>
      <c r="F183" s="151" t="s">
        <v>141</v>
      </c>
      <c r="G183" s="148"/>
      <c r="H183" s="148"/>
      <c r="I183" s="149"/>
      <c r="J183" s="217"/>
      <c r="K183" s="217"/>
      <c r="L183" s="217"/>
      <c r="M183" s="217"/>
      <c r="N183" s="217"/>
      <c r="O183" s="217"/>
    </row>
    <row r="184" spans="1:15" ht="15" customHeight="1">
      <c r="A184" s="152" t="s">
        <v>142</v>
      </c>
      <c r="B184" s="153" t="s">
        <v>143</v>
      </c>
      <c r="C184" s="153" t="s">
        <v>144</v>
      </c>
      <c r="D184" s="153" t="s">
        <v>145</v>
      </c>
      <c r="E184" s="153" t="s">
        <v>146</v>
      </c>
      <c r="F184" s="153" t="s">
        <v>147</v>
      </c>
      <c r="G184" s="148"/>
      <c r="H184" s="148"/>
      <c r="I184" s="149"/>
      <c r="J184" s="217"/>
      <c r="K184" s="217"/>
      <c r="L184" s="217"/>
      <c r="M184" s="217"/>
      <c r="N184" s="217"/>
      <c r="O184" s="217"/>
    </row>
    <row r="185" spans="1:15" ht="15" customHeight="1">
      <c r="A185" s="150" t="s">
        <v>148</v>
      </c>
      <c r="B185" s="151" t="s">
        <v>148</v>
      </c>
      <c r="C185" s="151" t="s">
        <v>148</v>
      </c>
      <c r="D185" s="151" t="s">
        <v>148</v>
      </c>
      <c r="E185" s="151" t="s">
        <v>148</v>
      </c>
      <c r="F185" s="151" t="s">
        <v>148</v>
      </c>
      <c r="G185" s="148"/>
      <c r="H185" s="148"/>
      <c r="I185" s="149"/>
      <c r="J185" s="217"/>
      <c r="K185" s="217"/>
      <c r="L185" s="217"/>
      <c r="M185" s="217"/>
      <c r="N185" s="217"/>
      <c r="O185" s="217"/>
    </row>
    <row r="186" spans="1:15" ht="15" customHeight="1">
      <c r="A186" s="390">
        <f>3.14*(A181/20)^2*G181/10</f>
        <v>490.625</v>
      </c>
      <c r="B186" s="391">
        <f>3.14*(A181/20)^2*F181/10</f>
        <v>2158.75</v>
      </c>
      <c r="C186" s="391">
        <f>3.14*(C181/20)^2*(F181-B181*D181)/10</f>
        <v>1068.58125</v>
      </c>
      <c r="D186" s="391">
        <f>3.14*(A181/20)^2*(B181*D181)/10</f>
        <v>259.05</v>
      </c>
      <c r="E186" s="391">
        <f>+B186-C186-D186</f>
        <v>831.11875000000009</v>
      </c>
      <c r="F186" s="391">
        <f>+A186+E186</f>
        <v>1321.7437500000001</v>
      </c>
      <c r="G186" s="154"/>
      <c r="H186" s="148"/>
      <c r="I186" s="149"/>
      <c r="J186" s="217"/>
      <c r="K186" s="217"/>
      <c r="L186" s="217"/>
      <c r="M186" s="217"/>
      <c r="N186" s="217"/>
      <c r="O186" s="217"/>
    </row>
    <row r="187" spans="1:15" ht="15" customHeight="1">
      <c r="A187" s="155" t="s">
        <v>149</v>
      </c>
      <c r="B187" s="148"/>
      <c r="C187" s="148"/>
      <c r="D187" s="148"/>
      <c r="E187" s="148"/>
      <c r="F187" s="148"/>
      <c r="G187" s="148"/>
      <c r="H187" s="148"/>
      <c r="I187" s="149"/>
      <c r="J187" s="217"/>
      <c r="K187" s="217"/>
      <c r="L187" s="217"/>
      <c r="M187" s="217"/>
      <c r="N187" s="217"/>
      <c r="O187" s="217"/>
    </row>
    <row r="188" spans="1:15" ht="15" customHeight="1">
      <c r="A188" s="150" t="s">
        <v>68</v>
      </c>
      <c r="B188" s="151" t="s">
        <v>150</v>
      </c>
      <c r="C188" s="151" t="s">
        <v>71</v>
      </c>
      <c r="D188" s="151" t="s">
        <v>151</v>
      </c>
      <c r="E188" s="151" t="s">
        <v>49</v>
      </c>
      <c r="F188" s="151" t="s">
        <v>49</v>
      </c>
      <c r="G188" s="151" t="s">
        <v>105</v>
      </c>
      <c r="H188" s="151" t="s">
        <v>152</v>
      </c>
      <c r="I188" s="156" t="s">
        <v>153</v>
      </c>
      <c r="J188" s="217"/>
      <c r="K188" s="217"/>
      <c r="L188" s="217"/>
      <c r="M188" s="217"/>
      <c r="N188" s="217"/>
      <c r="O188" s="217"/>
    </row>
    <row r="189" spans="1:15" ht="15" customHeight="1">
      <c r="A189" s="152" t="s">
        <v>79</v>
      </c>
      <c r="B189" s="153" t="s">
        <v>154</v>
      </c>
      <c r="C189" s="153" t="s">
        <v>80</v>
      </c>
      <c r="D189" s="153"/>
      <c r="E189" s="153" t="s">
        <v>79</v>
      </c>
      <c r="F189" s="153" t="s">
        <v>151</v>
      </c>
      <c r="G189" s="153" t="s">
        <v>135</v>
      </c>
      <c r="H189" s="153" t="s">
        <v>155</v>
      </c>
      <c r="I189" s="157" t="s">
        <v>156</v>
      </c>
      <c r="J189" s="217"/>
      <c r="K189" s="217"/>
      <c r="L189" s="217"/>
      <c r="M189" s="217"/>
      <c r="N189" s="217"/>
      <c r="O189" s="217"/>
    </row>
    <row r="190" spans="1:15" ht="15" customHeight="1">
      <c r="A190" s="150" t="s">
        <v>42</v>
      </c>
      <c r="B190" s="151"/>
      <c r="C190" s="151" t="s">
        <v>43</v>
      </c>
      <c r="D190" s="151" t="s">
        <v>40</v>
      </c>
      <c r="E190" s="151" t="s">
        <v>148</v>
      </c>
      <c r="F190" s="151" t="s">
        <v>148</v>
      </c>
      <c r="G190" s="151" t="s">
        <v>40</v>
      </c>
      <c r="H190" s="151"/>
      <c r="I190" s="156" t="s">
        <v>43</v>
      </c>
      <c r="J190" s="217"/>
      <c r="K190" s="217"/>
      <c r="L190" s="217"/>
      <c r="M190" s="217"/>
      <c r="N190" s="217"/>
      <c r="O190" s="217"/>
    </row>
    <row r="191" spans="1:15" ht="15" customHeight="1" thickBot="1">
      <c r="A191" s="392">
        <v>100</v>
      </c>
      <c r="B191" s="393">
        <v>0.75</v>
      </c>
      <c r="C191" s="393">
        <v>14</v>
      </c>
      <c r="D191" s="394">
        <v>20</v>
      </c>
      <c r="E191" s="395">
        <f>+A191/B191</f>
        <v>133.33333333333334</v>
      </c>
      <c r="F191" s="395">
        <f>3.14*(A181/20)^2*D191/10</f>
        <v>39.25</v>
      </c>
      <c r="G191" s="395">
        <f>+E191*10/(3.14*(A181/20)^2)</f>
        <v>67.940552016985151</v>
      </c>
      <c r="H191" s="395">
        <f>+(E186+F191)/E191</f>
        <v>6.5277656249999998</v>
      </c>
      <c r="I191" s="396">
        <f>+H191*C191</f>
        <v>91.388718749999995</v>
      </c>
      <c r="J191" s="217"/>
      <c r="K191" s="217"/>
      <c r="L191" s="217"/>
      <c r="M191" s="217"/>
      <c r="N191" s="217"/>
      <c r="O191" s="217"/>
    </row>
    <row r="192" spans="1:15" ht="15" customHeight="1" thickTop="1">
      <c r="A192" s="271"/>
      <c r="B192" s="271"/>
      <c r="C192" s="271"/>
      <c r="D192" s="272"/>
      <c r="E192" s="270"/>
      <c r="F192" s="270"/>
      <c r="G192" s="270"/>
      <c r="H192" s="270"/>
      <c r="I192" s="270"/>
      <c r="J192" s="217"/>
      <c r="K192" s="217"/>
      <c r="L192" s="217"/>
      <c r="M192" s="217"/>
      <c r="N192" s="217"/>
      <c r="O192" s="217"/>
    </row>
    <row r="193" spans="1:256" ht="15" customHeight="1" thickBot="1">
      <c r="A193" s="273" t="s">
        <v>89</v>
      </c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</row>
    <row r="194" spans="1:256" ht="15" customHeight="1" thickTop="1">
      <c r="A194" s="146" t="s">
        <v>269</v>
      </c>
      <c r="B194" s="111"/>
      <c r="C194" s="111"/>
      <c r="D194" s="111"/>
      <c r="E194" s="111"/>
      <c r="F194" s="141"/>
      <c r="G194" s="217"/>
      <c r="H194" s="217"/>
      <c r="I194" s="217"/>
      <c r="J194" s="217"/>
      <c r="K194" s="217"/>
      <c r="L194" s="217"/>
      <c r="M194" s="217"/>
      <c r="N194" s="217"/>
      <c r="O194" s="217"/>
    </row>
    <row r="195" spans="1:256" ht="15" customHeight="1" thickBot="1">
      <c r="A195" s="113" t="s">
        <v>224</v>
      </c>
      <c r="B195" s="114" t="s">
        <v>40</v>
      </c>
      <c r="C195" s="114" t="s">
        <v>225</v>
      </c>
      <c r="D195" s="114" t="s">
        <v>226</v>
      </c>
      <c r="E195" s="114" t="s">
        <v>227</v>
      </c>
      <c r="F195" s="117" t="s">
        <v>275</v>
      </c>
      <c r="G195" s="217"/>
      <c r="H195" s="217"/>
      <c r="I195" s="217"/>
      <c r="J195" s="217"/>
      <c r="K195" s="217"/>
      <c r="L195" s="217"/>
      <c r="M195" s="217"/>
      <c r="N195" s="217"/>
      <c r="O195" s="217"/>
    </row>
    <row r="196" spans="1:256" ht="15" customHeight="1" thickTop="1" thickBot="1">
      <c r="A196" s="52">
        <v>1</v>
      </c>
      <c r="B196" s="13">
        <f>+A196*1000</f>
        <v>1000</v>
      </c>
      <c r="C196" s="53">
        <f>+B196/25.4</f>
        <v>39.370078740157481</v>
      </c>
      <c r="D196" s="54">
        <f>+C196/12</f>
        <v>3.2808398950131235</v>
      </c>
      <c r="E196" s="296">
        <f>+D196/5280</f>
        <v>6.2137119223733403E-4</v>
      </c>
      <c r="F196" s="298">
        <f>+A196/1952</f>
        <v>5.1229508196721314E-4</v>
      </c>
      <c r="G196" s="217"/>
      <c r="H196" s="217"/>
      <c r="I196" s="217"/>
      <c r="J196" s="217"/>
      <c r="K196" s="217"/>
      <c r="L196" s="217"/>
      <c r="M196" s="217"/>
      <c r="N196" s="217"/>
      <c r="O196" s="217"/>
    </row>
    <row r="197" spans="1:256" ht="15" customHeight="1" thickTop="1" thickBot="1">
      <c r="A197" s="61">
        <f>+C197*0.0254</f>
        <v>1E-3</v>
      </c>
      <c r="B197" s="8">
        <v>1</v>
      </c>
      <c r="C197" s="53">
        <f>+B197/25.4</f>
        <v>3.937007874015748E-2</v>
      </c>
      <c r="D197" s="54">
        <f>+C197/12</f>
        <v>3.2808398950131233E-3</v>
      </c>
      <c r="E197" s="296">
        <f>+D197/5280</f>
        <v>6.2137119223733397E-7</v>
      </c>
      <c r="F197" s="298">
        <f>+A197/1952</f>
        <v>5.1229508196721316E-7</v>
      </c>
      <c r="G197" s="217"/>
      <c r="H197" s="217"/>
      <c r="I197" s="217"/>
      <c r="J197" s="217"/>
      <c r="K197" s="217"/>
      <c r="L197" s="217"/>
      <c r="M197" s="217"/>
      <c r="N197" s="217"/>
      <c r="O197" s="217"/>
    </row>
    <row r="198" spans="1:256" ht="15" customHeight="1" thickTop="1" thickBot="1">
      <c r="A198" s="61">
        <f>+C198*0.0254</f>
        <v>2.5399999999999999E-2</v>
      </c>
      <c r="B198" s="13">
        <f t="shared" ref="B198:B201" si="9">+A198*1000</f>
        <v>25.4</v>
      </c>
      <c r="C198" s="57">
        <v>1</v>
      </c>
      <c r="D198" s="58">
        <f>+C198/12</f>
        <v>8.3333333333333329E-2</v>
      </c>
      <c r="E198" s="296">
        <f>+D198/5280</f>
        <v>1.5782828282828283E-5</v>
      </c>
      <c r="F198" s="298">
        <f>+E198/5280</f>
        <v>2.9891720232629325E-9</v>
      </c>
      <c r="G198" s="217"/>
      <c r="H198" s="217"/>
      <c r="I198" s="217"/>
      <c r="J198" s="217"/>
      <c r="K198" s="217"/>
      <c r="L198" s="217"/>
      <c r="M198" s="217"/>
      <c r="N198" s="217"/>
      <c r="O198" s="217"/>
    </row>
    <row r="199" spans="1:256" ht="15" customHeight="1" thickTop="1" thickBot="1">
      <c r="A199" s="56">
        <f>+C199*0.0254</f>
        <v>0.30479999999999996</v>
      </c>
      <c r="B199" s="13">
        <f t="shared" si="9"/>
        <v>304.79999999999995</v>
      </c>
      <c r="C199" s="59">
        <f>+D199*12</f>
        <v>12</v>
      </c>
      <c r="D199" s="12">
        <v>1</v>
      </c>
      <c r="E199" s="296">
        <f>+D199/5280</f>
        <v>1.8939393939393939E-4</v>
      </c>
      <c r="F199" s="298">
        <f>+E199/5280</f>
        <v>3.5870064279155189E-8</v>
      </c>
      <c r="G199" s="217"/>
      <c r="H199" s="217"/>
      <c r="I199" s="217"/>
      <c r="J199" s="217"/>
      <c r="K199" s="217"/>
      <c r="L199" s="217"/>
      <c r="M199" s="217"/>
      <c r="N199" s="217"/>
      <c r="O199" s="217"/>
    </row>
    <row r="200" spans="1:256" ht="15" customHeight="1" thickTop="1" thickBot="1">
      <c r="A200" s="56">
        <f>+C200*0.0254</f>
        <v>1609.3439999999998</v>
      </c>
      <c r="B200" s="13">
        <f t="shared" si="9"/>
        <v>1609343.9999999998</v>
      </c>
      <c r="C200" s="59">
        <f>+D200*12</f>
        <v>63360</v>
      </c>
      <c r="D200" s="58">
        <f>+E200*5280</f>
        <v>5280</v>
      </c>
      <c r="E200" s="297">
        <v>1</v>
      </c>
      <c r="F200" s="298">
        <f>+E200/5280</f>
        <v>1.8939393939393939E-4</v>
      </c>
      <c r="G200" s="217"/>
      <c r="H200" s="217"/>
      <c r="I200" s="217"/>
      <c r="J200" s="217"/>
      <c r="K200" s="217"/>
      <c r="L200" s="217"/>
      <c r="M200" s="217"/>
      <c r="N200" s="217"/>
      <c r="O200" s="217"/>
    </row>
    <row r="201" spans="1:256" ht="15" customHeight="1" thickTop="1" thickBot="1">
      <c r="A201" s="56">
        <f>+F201*1952</f>
        <v>1952</v>
      </c>
      <c r="B201" s="13">
        <f t="shared" si="9"/>
        <v>1952000</v>
      </c>
      <c r="C201" s="59">
        <f>+A201/0.0254</f>
        <v>76850.393700787405</v>
      </c>
      <c r="D201" s="54">
        <f>+C201/12</f>
        <v>6404.1994750656168</v>
      </c>
      <c r="E201" s="296">
        <f>+D201/5280</f>
        <v>1.2129165672472759</v>
      </c>
      <c r="F201" s="299">
        <v>1</v>
      </c>
      <c r="G201" s="217"/>
      <c r="H201" s="217"/>
      <c r="I201" s="217"/>
      <c r="J201" s="217"/>
      <c r="K201" s="217"/>
      <c r="L201" s="217"/>
      <c r="M201" s="217"/>
      <c r="N201" s="217"/>
      <c r="O201" s="217"/>
    </row>
    <row r="202" spans="1:256" s="337" customFormat="1" ht="15" customHeight="1" thickTop="1" thickBot="1">
      <c r="A202" s="224"/>
      <c r="B202" s="224"/>
      <c r="C202" s="234"/>
      <c r="D202" s="267"/>
      <c r="E202" s="236"/>
      <c r="F202" s="236"/>
      <c r="G202" s="236"/>
      <c r="H202" s="236"/>
      <c r="I202" s="236"/>
      <c r="J202" s="236"/>
      <c r="K202" s="236"/>
      <c r="L202" s="236"/>
      <c r="M202" s="236"/>
      <c r="N202" s="236"/>
      <c r="O202" s="236"/>
      <c r="P202" s="336"/>
      <c r="Q202" s="336"/>
      <c r="R202" s="336"/>
      <c r="S202" s="336"/>
      <c r="T202" s="336"/>
      <c r="U202" s="336"/>
      <c r="V202" s="336"/>
      <c r="W202" s="336"/>
      <c r="X202" s="336"/>
      <c r="Y202" s="336"/>
      <c r="Z202" s="336"/>
      <c r="AA202" s="336"/>
      <c r="AB202" s="336"/>
      <c r="AC202" s="336"/>
      <c r="AD202" s="336"/>
      <c r="AE202" s="336"/>
      <c r="AF202" s="336"/>
      <c r="AG202" s="336"/>
      <c r="AH202" s="336"/>
      <c r="AI202" s="336"/>
      <c r="AJ202" s="336"/>
      <c r="AK202" s="336"/>
      <c r="AL202" s="336"/>
      <c r="AM202" s="336"/>
      <c r="AN202" s="336"/>
      <c r="AO202" s="336"/>
      <c r="AP202" s="336"/>
      <c r="AQ202" s="336"/>
      <c r="AR202" s="336"/>
      <c r="AS202" s="336"/>
      <c r="AT202" s="336"/>
      <c r="AU202" s="336"/>
      <c r="AV202" s="336"/>
      <c r="AW202" s="336"/>
      <c r="AX202" s="336"/>
      <c r="AY202" s="336"/>
      <c r="AZ202" s="336"/>
      <c r="BA202" s="336"/>
      <c r="BB202" s="336"/>
      <c r="BC202" s="336"/>
      <c r="BD202" s="336"/>
      <c r="BE202" s="336"/>
      <c r="BF202" s="336"/>
      <c r="BG202" s="336"/>
      <c r="BH202" s="336"/>
      <c r="BI202" s="336"/>
      <c r="BJ202" s="336"/>
      <c r="BK202" s="336"/>
      <c r="BL202" s="336"/>
      <c r="BM202" s="336"/>
      <c r="BN202" s="336"/>
      <c r="BO202" s="336"/>
      <c r="BP202" s="336"/>
      <c r="BQ202" s="336"/>
      <c r="BR202" s="336"/>
      <c r="BS202" s="336"/>
      <c r="BT202" s="336"/>
      <c r="BU202" s="336"/>
      <c r="BV202" s="336"/>
      <c r="BW202" s="336"/>
      <c r="BX202" s="336"/>
      <c r="BY202" s="336"/>
      <c r="BZ202" s="336"/>
      <c r="CA202" s="336"/>
      <c r="CB202" s="336"/>
      <c r="CC202" s="336"/>
      <c r="CD202" s="336"/>
      <c r="CE202" s="336"/>
      <c r="CF202" s="336"/>
      <c r="CG202" s="336"/>
      <c r="CH202" s="336"/>
      <c r="CI202" s="336"/>
      <c r="CJ202" s="336"/>
      <c r="CK202" s="336"/>
      <c r="CL202" s="336"/>
      <c r="CM202" s="336"/>
      <c r="CN202" s="336"/>
      <c r="CO202" s="336"/>
      <c r="CP202" s="336"/>
      <c r="CQ202" s="336"/>
      <c r="CR202" s="336"/>
      <c r="CS202" s="336"/>
      <c r="CT202" s="336"/>
      <c r="CU202" s="336"/>
      <c r="CV202" s="336"/>
      <c r="CW202" s="336"/>
      <c r="CX202" s="336"/>
      <c r="CY202" s="336"/>
      <c r="CZ202" s="336"/>
      <c r="DA202" s="336"/>
      <c r="DB202" s="336"/>
      <c r="DC202" s="336"/>
      <c r="DD202" s="336"/>
      <c r="DE202" s="336"/>
      <c r="DF202" s="336"/>
      <c r="DG202" s="336"/>
      <c r="DH202" s="336"/>
      <c r="DI202" s="336"/>
      <c r="DJ202" s="336"/>
      <c r="DK202" s="336"/>
      <c r="DL202" s="336"/>
      <c r="DM202" s="336"/>
      <c r="DN202" s="336"/>
      <c r="DO202" s="336"/>
      <c r="DP202" s="336"/>
      <c r="DQ202" s="336"/>
      <c r="DR202" s="336"/>
      <c r="DS202" s="336"/>
      <c r="DT202" s="336"/>
      <c r="DU202" s="336"/>
      <c r="DV202" s="336"/>
      <c r="DW202" s="336"/>
      <c r="DX202" s="336"/>
      <c r="DY202" s="336"/>
      <c r="DZ202" s="336"/>
      <c r="EA202" s="336"/>
      <c r="EB202" s="336"/>
      <c r="EC202" s="336"/>
      <c r="ED202" s="336"/>
      <c r="EE202" s="336"/>
      <c r="EF202" s="336"/>
      <c r="EG202" s="336"/>
      <c r="EH202" s="336"/>
      <c r="EI202" s="336"/>
      <c r="EJ202" s="336"/>
      <c r="EK202" s="336"/>
      <c r="EL202" s="336"/>
      <c r="EM202" s="336"/>
      <c r="EN202" s="336"/>
      <c r="EO202" s="336"/>
      <c r="EP202" s="336"/>
      <c r="EQ202" s="336"/>
      <c r="ER202" s="336"/>
      <c r="ES202" s="336"/>
      <c r="ET202" s="336"/>
      <c r="EU202" s="336"/>
      <c r="EV202" s="336"/>
      <c r="EW202" s="336"/>
      <c r="EX202" s="336"/>
      <c r="EY202" s="336"/>
      <c r="EZ202" s="336"/>
      <c r="FA202" s="336"/>
      <c r="FB202" s="336"/>
      <c r="FC202" s="336"/>
      <c r="FD202" s="336"/>
      <c r="FE202" s="336"/>
      <c r="FF202" s="336"/>
      <c r="FG202" s="336"/>
      <c r="FH202" s="336"/>
      <c r="FI202" s="336"/>
      <c r="FJ202" s="336"/>
      <c r="FK202" s="336"/>
      <c r="FL202" s="336"/>
      <c r="FM202" s="336"/>
      <c r="FN202" s="336"/>
      <c r="FO202" s="336"/>
      <c r="FP202" s="336"/>
      <c r="FQ202" s="336"/>
      <c r="FR202" s="336"/>
      <c r="FS202" s="336"/>
      <c r="FT202" s="336"/>
      <c r="FU202" s="336"/>
      <c r="FV202" s="336"/>
      <c r="FW202" s="336"/>
      <c r="FX202" s="336"/>
      <c r="FY202" s="336"/>
      <c r="FZ202" s="336"/>
      <c r="GA202" s="336"/>
      <c r="GB202" s="336"/>
      <c r="GC202" s="336"/>
      <c r="GD202" s="336"/>
      <c r="GE202" s="336"/>
      <c r="GF202" s="336"/>
      <c r="GG202" s="336"/>
      <c r="GH202" s="336"/>
      <c r="GI202" s="336"/>
      <c r="GJ202" s="336"/>
      <c r="GK202" s="336"/>
      <c r="GL202" s="336"/>
      <c r="GM202" s="336"/>
      <c r="GN202" s="336"/>
      <c r="GO202" s="336"/>
      <c r="GP202" s="336"/>
      <c r="GQ202" s="336"/>
      <c r="GR202" s="336"/>
      <c r="GS202" s="336"/>
      <c r="GT202" s="336"/>
      <c r="GU202" s="336"/>
      <c r="GV202" s="336"/>
      <c r="GW202" s="336"/>
      <c r="GX202" s="336"/>
      <c r="GY202" s="336"/>
      <c r="GZ202" s="336"/>
      <c r="HA202" s="336"/>
      <c r="HB202" s="336"/>
      <c r="HC202" s="336"/>
      <c r="HD202" s="336"/>
      <c r="HE202" s="336"/>
      <c r="HF202" s="336"/>
      <c r="HG202" s="336"/>
      <c r="HH202" s="336"/>
      <c r="HI202" s="336"/>
      <c r="HJ202" s="336"/>
      <c r="HK202" s="336"/>
      <c r="HL202" s="336"/>
      <c r="HM202" s="336"/>
      <c r="HN202" s="336"/>
      <c r="HO202" s="336"/>
      <c r="HP202" s="336"/>
      <c r="HQ202" s="336"/>
      <c r="HR202" s="336"/>
      <c r="HS202" s="336"/>
      <c r="HT202" s="336"/>
      <c r="HU202" s="336"/>
      <c r="HV202" s="336"/>
      <c r="HW202" s="336"/>
      <c r="HX202" s="336"/>
      <c r="HY202" s="336"/>
      <c r="HZ202" s="336"/>
      <c r="IA202" s="336"/>
      <c r="IB202" s="336"/>
      <c r="IC202" s="336"/>
      <c r="ID202" s="336"/>
      <c r="IE202" s="336"/>
      <c r="IF202" s="336"/>
      <c r="IG202" s="336"/>
      <c r="IH202" s="336"/>
      <c r="II202" s="336"/>
      <c r="IJ202" s="336"/>
      <c r="IK202" s="336"/>
      <c r="IL202" s="336"/>
      <c r="IM202" s="336"/>
      <c r="IN202" s="336"/>
      <c r="IO202" s="336"/>
      <c r="IP202" s="336"/>
      <c r="IQ202" s="336"/>
      <c r="IR202" s="336"/>
      <c r="IS202" s="336"/>
      <c r="IT202" s="336"/>
      <c r="IU202" s="336"/>
      <c r="IV202" s="336"/>
    </row>
    <row r="203" spans="1:256" s="337" customFormat="1" ht="15" customHeight="1" thickTop="1">
      <c r="A203" s="146" t="s">
        <v>291</v>
      </c>
      <c r="B203" s="111"/>
      <c r="C203" s="111"/>
      <c r="D203" s="111"/>
      <c r="E203" s="111"/>
      <c r="F203" s="141"/>
      <c r="G203" s="236"/>
      <c r="H203" s="236"/>
      <c r="I203" s="236"/>
      <c r="J203" s="236"/>
      <c r="K203" s="236"/>
      <c r="L203" s="236"/>
      <c r="M203" s="236"/>
      <c r="N203" s="236"/>
      <c r="O203" s="236"/>
      <c r="P203" s="336"/>
      <c r="Q203" s="336"/>
      <c r="R203" s="336"/>
      <c r="S203" s="336"/>
      <c r="T203" s="336"/>
      <c r="U203" s="336"/>
      <c r="V203" s="336"/>
      <c r="W203" s="336"/>
      <c r="X203" s="336"/>
      <c r="Y203" s="336"/>
      <c r="Z203" s="336"/>
      <c r="AA203" s="336"/>
      <c r="AB203" s="336"/>
      <c r="AC203" s="336"/>
      <c r="AD203" s="336"/>
      <c r="AE203" s="336"/>
      <c r="AF203" s="336"/>
      <c r="AG203" s="336"/>
      <c r="AH203" s="336"/>
      <c r="AI203" s="336"/>
      <c r="AJ203" s="336"/>
      <c r="AK203" s="336"/>
      <c r="AL203" s="336"/>
      <c r="AM203" s="336"/>
      <c r="AN203" s="336"/>
      <c r="AO203" s="336"/>
      <c r="AP203" s="336"/>
      <c r="AQ203" s="336"/>
      <c r="AR203" s="336"/>
      <c r="AS203" s="336"/>
      <c r="AT203" s="336"/>
      <c r="AU203" s="336"/>
      <c r="AV203" s="336"/>
      <c r="AW203" s="336"/>
      <c r="AX203" s="336"/>
      <c r="AY203" s="336"/>
      <c r="AZ203" s="336"/>
      <c r="BA203" s="336"/>
      <c r="BB203" s="336"/>
      <c r="BC203" s="336"/>
      <c r="BD203" s="336"/>
      <c r="BE203" s="336"/>
      <c r="BF203" s="336"/>
      <c r="BG203" s="336"/>
      <c r="BH203" s="336"/>
      <c r="BI203" s="336"/>
      <c r="BJ203" s="336"/>
      <c r="BK203" s="336"/>
      <c r="BL203" s="336"/>
      <c r="BM203" s="336"/>
      <c r="BN203" s="336"/>
      <c r="BO203" s="336"/>
      <c r="BP203" s="336"/>
      <c r="BQ203" s="336"/>
      <c r="BR203" s="336"/>
      <c r="BS203" s="336"/>
      <c r="BT203" s="336"/>
      <c r="BU203" s="336"/>
      <c r="BV203" s="336"/>
      <c r="BW203" s="336"/>
      <c r="BX203" s="336"/>
      <c r="BY203" s="336"/>
      <c r="BZ203" s="336"/>
      <c r="CA203" s="336"/>
      <c r="CB203" s="336"/>
      <c r="CC203" s="336"/>
      <c r="CD203" s="336"/>
      <c r="CE203" s="336"/>
      <c r="CF203" s="336"/>
      <c r="CG203" s="336"/>
      <c r="CH203" s="336"/>
      <c r="CI203" s="336"/>
      <c r="CJ203" s="336"/>
      <c r="CK203" s="336"/>
      <c r="CL203" s="336"/>
      <c r="CM203" s="336"/>
      <c r="CN203" s="336"/>
      <c r="CO203" s="336"/>
      <c r="CP203" s="336"/>
      <c r="CQ203" s="336"/>
      <c r="CR203" s="336"/>
      <c r="CS203" s="336"/>
      <c r="CT203" s="336"/>
      <c r="CU203" s="336"/>
      <c r="CV203" s="336"/>
      <c r="CW203" s="336"/>
      <c r="CX203" s="336"/>
      <c r="CY203" s="336"/>
      <c r="CZ203" s="336"/>
      <c r="DA203" s="336"/>
      <c r="DB203" s="336"/>
      <c r="DC203" s="336"/>
      <c r="DD203" s="336"/>
      <c r="DE203" s="336"/>
      <c r="DF203" s="336"/>
      <c r="DG203" s="336"/>
      <c r="DH203" s="336"/>
      <c r="DI203" s="336"/>
      <c r="DJ203" s="336"/>
      <c r="DK203" s="336"/>
      <c r="DL203" s="336"/>
      <c r="DM203" s="336"/>
      <c r="DN203" s="336"/>
      <c r="DO203" s="336"/>
      <c r="DP203" s="336"/>
      <c r="DQ203" s="336"/>
      <c r="DR203" s="336"/>
      <c r="DS203" s="336"/>
      <c r="DT203" s="336"/>
      <c r="DU203" s="336"/>
      <c r="DV203" s="336"/>
      <c r="DW203" s="336"/>
      <c r="DX203" s="336"/>
      <c r="DY203" s="336"/>
      <c r="DZ203" s="336"/>
      <c r="EA203" s="336"/>
      <c r="EB203" s="336"/>
      <c r="EC203" s="336"/>
      <c r="ED203" s="336"/>
      <c r="EE203" s="336"/>
      <c r="EF203" s="336"/>
      <c r="EG203" s="336"/>
      <c r="EH203" s="336"/>
      <c r="EI203" s="336"/>
      <c r="EJ203" s="336"/>
      <c r="EK203" s="336"/>
      <c r="EL203" s="336"/>
      <c r="EM203" s="336"/>
      <c r="EN203" s="336"/>
      <c r="EO203" s="336"/>
      <c r="EP203" s="336"/>
      <c r="EQ203" s="336"/>
      <c r="ER203" s="336"/>
      <c r="ES203" s="336"/>
      <c r="ET203" s="336"/>
      <c r="EU203" s="336"/>
      <c r="EV203" s="336"/>
      <c r="EW203" s="336"/>
      <c r="EX203" s="336"/>
      <c r="EY203" s="336"/>
      <c r="EZ203" s="336"/>
      <c r="FA203" s="336"/>
      <c r="FB203" s="336"/>
      <c r="FC203" s="336"/>
      <c r="FD203" s="336"/>
      <c r="FE203" s="336"/>
      <c r="FF203" s="336"/>
      <c r="FG203" s="336"/>
      <c r="FH203" s="336"/>
      <c r="FI203" s="336"/>
      <c r="FJ203" s="336"/>
      <c r="FK203" s="336"/>
      <c r="FL203" s="336"/>
      <c r="FM203" s="336"/>
      <c r="FN203" s="336"/>
      <c r="FO203" s="336"/>
      <c r="FP203" s="336"/>
      <c r="FQ203" s="336"/>
      <c r="FR203" s="336"/>
      <c r="FS203" s="336"/>
      <c r="FT203" s="336"/>
      <c r="FU203" s="336"/>
      <c r="FV203" s="336"/>
      <c r="FW203" s="336"/>
      <c r="FX203" s="336"/>
      <c r="FY203" s="336"/>
      <c r="FZ203" s="336"/>
      <c r="GA203" s="336"/>
      <c r="GB203" s="336"/>
      <c r="GC203" s="336"/>
      <c r="GD203" s="336"/>
      <c r="GE203" s="336"/>
      <c r="GF203" s="336"/>
      <c r="GG203" s="336"/>
      <c r="GH203" s="336"/>
      <c r="GI203" s="336"/>
      <c r="GJ203" s="336"/>
      <c r="GK203" s="336"/>
      <c r="GL203" s="336"/>
      <c r="GM203" s="336"/>
      <c r="GN203" s="336"/>
      <c r="GO203" s="336"/>
      <c r="GP203" s="336"/>
      <c r="GQ203" s="336"/>
      <c r="GR203" s="336"/>
      <c r="GS203" s="336"/>
      <c r="GT203" s="336"/>
      <c r="GU203" s="336"/>
      <c r="GV203" s="336"/>
      <c r="GW203" s="336"/>
      <c r="GX203" s="336"/>
      <c r="GY203" s="336"/>
      <c r="GZ203" s="336"/>
      <c r="HA203" s="336"/>
      <c r="HB203" s="336"/>
      <c r="HC203" s="336"/>
      <c r="HD203" s="336"/>
      <c r="HE203" s="336"/>
      <c r="HF203" s="336"/>
      <c r="HG203" s="336"/>
      <c r="HH203" s="336"/>
      <c r="HI203" s="336"/>
      <c r="HJ203" s="336"/>
      <c r="HK203" s="336"/>
      <c r="HL203" s="336"/>
      <c r="HM203" s="336"/>
      <c r="HN203" s="336"/>
      <c r="HO203" s="336"/>
      <c r="HP203" s="336"/>
      <c r="HQ203" s="336"/>
      <c r="HR203" s="336"/>
      <c r="HS203" s="336"/>
      <c r="HT203" s="336"/>
      <c r="HU203" s="336"/>
      <c r="HV203" s="336"/>
      <c r="HW203" s="336"/>
      <c r="HX203" s="336"/>
      <c r="HY203" s="336"/>
      <c r="HZ203" s="336"/>
      <c r="IA203" s="336"/>
      <c r="IB203" s="336"/>
      <c r="IC203" s="336"/>
      <c r="ID203" s="336"/>
      <c r="IE203" s="336"/>
      <c r="IF203" s="336"/>
      <c r="IG203" s="336"/>
      <c r="IH203" s="336"/>
      <c r="II203" s="336"/>
      <c r="IJ203" s="336"/>
      <c r="IK203" s="336"/>
      <c r="IL203" s="336"/>
      <c r="IM203" s="336"/>
      <c r="IN203" s="336"/>
      <c r="IO203" s="336"/>
      <c r="IP203" s="336"/>
      <c r="IQ203" s="336"/>
      <c r="IR203" s="336"/>
      <c r="IS203" s="336"/>
      <c r="IT203" s="336"/>
      <c r="IU203" s="336"/>
      <c r="IV203" s="336"/>
    </row>
    <row r="204" spans="1:256" s="337" customFormat="1" ht="15" customHeight="1" thickBot="1">
      <c r="A204" s="113" t="s">
        <v>284</v>
      </c>
      <c r="B204" s="114" t="s">
        <v>292</v>
      </c>
      <c r="C204" s="114" t="s">
        <v>294</v>
      </c>
      <c r="D204" s="114" t="s">
        <v>286</v>
      </c>
      <c r="E204" s="114" t="s">
        <v>293</v>
      </c>
      <c r="F204" s="117" t="s">
        <v>296</v>
      </c>
      <c r="G204" s="236"/>
      <c r="H204" s="236"/>
      <c r="I204" s="236"/>
      <c r="J204" s="236"/>
      <c r="K204" s="236"/>
      <c r="L204" s="236"/>
      <c r="M204" s="236"/>
      <c r="N204" s="236"/>
      <c r="O204" s="236"/>
      <c r="P204" s="336"/>
      <c r="Q204" s="336"/>
      <c r="R204" s="336"/>
      <c r="S204" s="336"/>
      <c r="T204" s="336"/>
      <c r="U204" s="336"/>
      <c r="V204" s="336"/>
      <c r="W204" s="336"/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  <c r="AL204" s="336"/>
      <c r="AM204" s="336"/>
      <c r="AN204" s="336"/>
      <c r="AO204" s="336"/>
      <c r="AP204" s="336"/>
      <c r="AQ204" s="336"/>
      <c r="AR204" s="336"/>
      <c r="AS204" s="336"/>
      <c r="AT204" s="336"/>
      <c r="AU204" s="336"/>
      <c r="AV204" s="336"/>
      <c r="AW204" s="336"/>
      <c r="AX204" s="336"/>
      <c r="AY204" s="336"/>
      <c r="AZ204" s="336"/>
      <c r="BA204" s="336"/>
      <c r="BB204" s="336"/>
      <c r="BC204" s="336"/>
      <c r="BD204" s="336"/>
      <c r="BE204" s="336"/>
      <c r="BF204" s="336"/>
      <c r="BG204" s="336"/>
      <c r="BH204" s="336"/>
      <c r="BI204" s="336"/>
      <c r="BJ204" s="336"/>
      <c r="BK204" s="336"/>
      <c r="BL204" s="336"/>
      <c r="BM204" s="336"/>
      <c r="BN204" s="336"/>
      <c r="BO204" s="336"/>
      <c r="BP204" s="336"/>
      <c r="BQ204" s="336"/>
      <c r="BR204" s="336"/>
      <c r="BS204" s="336"/>
      <c r="BT204" s="336"/>
      <c r="BU204" s="336"/>
      <c r="BV204" s="336"/>
      <c r="BW204" s="336"/>
      <c r="BX204" s="336"/>
      <c r="BY204" s="336"/>
      <c r="BZ204" s="336"/>
      <c r="CA204" s="336"/>
      <c r="CB204" s="336"/>
      <c r="CC204" s="336"/>
      <c r="CD204" s="336"/>
      <c r="CE204" s="336"/>
      <c r="CF204" s="336"/>
      <c r="CG204" s="336"/>
      <c r="CH204" s="336"/>
      <c r="CI204" s="336"/>
      <c r="CJ204" s="336"/>
      <c r="CK204" s="336"/>
      <c r="CL204" s="336"/>
      <c r="CM204" s="336"/>
      <c r="CN204" s="336"/>
      <c r="CO204" s="336"/>
      <c r="CP204" s="336"/>
      <c r="CQ204" s="336"/>
      <c r="CR204" s="336"/>
      <c r="CS204" s="336"/>
      <c r="CT204" s="336"/>
      <c r="CU204" s="336"/>
      <c r="CV204" s="336"/>
      <c r="CW204" s="336"/>
      <c r="CX204" s="336"/>
      <c r="CY204" s="336"/>
      <c r="CZ204" s="336"/>
      <c r="DA204" s="336"/>
      <c r="DB204" s="336"/>
      <c r="DC204" s="336"/>
      <c r="DD204" s="336"/>
      <c r="DE204" s="336"/>
      <c r="DF204" s="336"/>
      <c r="DG204" s="336"/>
      <c r="DH204" s="336"/>
      <c r="DI204" s="336"/>
      <c r="DJ204" s="336"/>
      <c r="DK204" s="336"/>
      <c r="DL204" s="336"/>
      <c r="DM204" s="336"/>
      <c r="DN204" s="336"/>
      <c r="DO204" s="336"/>
      <c r="DP204" s="336"/>
      <c r="DQ204" s="336"/>
      <c r="DR204" s="336"/>
      <c r="DS204" s="336"/>
      <c r="DT204" s="336"/>
      <c r="DU204" s="336"/>
      <c r="DV204" s="336"/>
      <c r="DW204" s="336"/>
      <c r="DX204" s="336"/>
      <c r="DY204" s="336"/>
      <c r="DZ204" s="336"/>
      <c r="EA204" s="336"/>
      <c r="EB204" s="336"/>
      <c r="EC204" s="336"/>
      <c r="ED204" s="336"/>
      <c r="EE204" s="336"/>
      <c r="EF204" s="336"/>
      <c r="EG204" s="336"/>
      <c r="EH204" s="336"/>
      <c r="EI204" s="336"/>
      <c r="EJ204" s="336"/>
      <c r="EK204" s="336"/>
      <c r="EL204" s="336"/>
      <c r="EM204" s="336"/>
      <c r="EN204" s="336"/>
      <c r="EO204" s="336"/>
      <c r="EP204" s="336"/>
      <c r="EQ204" s="336"/>
      <c r="ER204" s="336"/>
      <c r="ES204" s="336"/>
      <c r="ET204" s="336"/>
      <c r="EU204" s="336"/>
      <c r="EV204" s="336"/>
      <c r="EW204" s="336"/>
      <c r="EX204" s="336"/>
      <c r="EY204" s="336"/>
      <c r="EZ204" s="336"/>
      <c r="FA204" s="336"/>
      <c r="FB204" s="336"/>
      <c r="FC204" s="336"/>
      <c r="FD204" s="336"/>
      <c r="FE204" s="336"/>
      <c r="FF204" s="336"/>
      <c r="FG204" s="336"/>
      <c r="FH204" s="336"/>
      <c r="FI204" s="336"/>
      <c r="FJ204" s="336"/>
      <c r="FK204" s="336"/>
      <c r="FL204" s="336"/>
      <c r="FM204" s="336"/>
      <c r="FN204" s="336"/>
      <c r="FO204" s="336"/>
      <c r="FP204" s="336"/>
      <c r="FQ204" s="336"/>
      <c r="FR204" s="336"/>
      <c r="FS204" s="336"/>
      <c r="FT204" s="336"/>
      <c r="FU204" s="336"/>
      <c r="FV204" s="336"/>
      <c r="FW204" s="336"/>
      <c r="FX204" s="336"/>
      <c r="FY204" s="336"/>
      <c r="FZ204" s="336"/>
      <c r="GA204" s="336"/>
      <c r="GB204" s="336"/>
      <c r="GC204" s="336"/>
      <c r="GD204" s="336"/>
      <c r="GE204" s="336"/>
      <c r="GF204" s="336"/>
      <c r="GG204" s="336"/>
      <c r="GH204" s="336"/>
      <c r="GI204" s="336"/>
      <c r="GJ204" s="336"/>
      <c r="GK204" s="336"/>
      <c r="GL204" s="336"/>
      <c r="GM204" s="336"/>
      <c r="GN204" s="336"/>
      <c r="GO204" s="336"/>
      <c r="GP204" s="336"/>
      <c r="GQ204" s="336"/>
      <c r="GR204" s="336"/>
      <c r="GS204" s="336"/>
      <c r="GT204" s="336"/>
      <c r="GU204" s="336"/>
      <c r="GV204" s="336"/>
      <c r="GW204" s="336"/>
      <c r="GX204" s="336"/>
      <c r="GY204" s="336"/>
      <c r="GZ204" s="336"/>
      <c r="HA204" s="336"/>
      <c r="HB204" s="336"/>
      <c r="HC204" s="336"/>
      <c r="HD204" s="336"/>
      <c r="HE204" s="336"/>
      <c r="HF204" s="336"/>
      <c r="HG204" s="336"/>
      <c r="HH204" s="336"/>
      <c r="HI204" s="336"/>
      <c r="HJ204" s="336"/>
      <c r="HK204" s="336"/>
      <c r="HL204" s="336"/>
      <c r="HM204" s="336"/>
      <c r="HN204" s="336"/>
      <c r="HO204" s="336"/>
      <c r="HP204" s="336"/>
      <c r="HQ204" s="336"/>
      <c r="HR204" s="336"/>
      <c r="HS204" s="336"/>
      <c r="HT204" s="336"/>
      <c r="HU204" s="336"/>
      <c r="HV204" s="336"/>
      <c r="HW204" s="336"/>
      <c r="HX204" s="336"/>
      <c r="HY204" s="336"/>
      <c r="HZ204" s="336"/>
      <c r="IA204" s="336"/>
      <c r="IB204" s="336"/>
      <c r="IC204" s="336"/>
      <c r="ID204" s="336"/>
      <c r="IE204" s="336"/>
      <c r="IF204" s="336"/>
      <c r="IG204" s="336"/>
      <c r="IH204" s="336"/>
      <c r="II204" s="336"/>
      <c r="IJ204" s="336"/>
      <c r="IK204" s="336"/>
      <c r="IL204" s="336"/>
      <c r="IM204" s="336"/>
      <c r="IN204" s="336"/>
      <c r="IO204" s="336"/>
      <c r="IP204" s="336"/>
      <c r="IQ204" s="336"/>
      <c r="IR204" s="336"/>
      <c r="IS204" s="336"/>
      <c r="IT204" s="336"/>
      <c r="IU204" s="336"/>
      <c r="IV204" s="336"/>
    </row>
    <row r="205" spans="1:256" ht="15" customHeight="1" thickTop="1" thickBot="1">
      <c r="A205" s="313">
        <v>1</v>
      </c>
      <c r="B205" s="59">
        <f>+A205*10000</f>
        <v>10000</v>
      </c>
      <c r="C205" s="11">
        <f>+A205*1000000</f>
        <v>1000000</v>
      </c>
      <c r="D205" s="59">
        <f>+B205</f>
        <v>10000</v>
      </c>
      <c r="E205" s="59">
        <f>+B205/(2.54*2.54)</f>
        <v>1550.0031000061999</v>
      </c>
      <c r="F205" s="298">
        <f>+E205/144</f>
        <v>10.763910416709722</v>
      </c>
      <c r="G205" s="217"/>
      <c r="H205" s="217"/>
      <c r="I205" s="217"/>
      <c r="J205" s="217"/>
      <c r="K205" s="217"/>
      <c r="L205" s="217"/>
      <c r="M205" s="217"/>
      <c r="N205" s="217"/>
      <c r="O205" s="217"/>
    </row>
    <row r="206" spans="1:256" ht="15" customHeight="1" thickTop="1" thickBot="1">
      <c r="A206" s="312">
        <f>+B206/10000</f>
        <v>1E-4</v>
      </c>
      <c r="B206" s="49">
        <v>1</v>
      </c>
      <c r="C206" s="11">
        <f>+B206*100</f>
        <v>100</v>
      </c>
      <c r="D206" s="59">
        <f>+B206</f>
        <v>1</v>
      </c>
      <c r="E206" s="59">
        <f>+B206/(2.54*2.54)</f>
        <v>0.15500031000062001</v>
      </c>
      <c r="F206" s="298">
        <f t="shared" ref="F206:F208" si="10">+E206/144</f>
        <v>1.0763910416709723E-3</v>
      </c>
      <c r="G206" s="217"/>
      <c r="H206" s="217"/>
      <c r="I206" s="217"/>
      <c r="J206" s="217"/>
      <c r="K206" s="217"/>
      <c r="L206" s="217"/>
      <c r="M206" s="217"/>
      <c r="N206" s="217"/>
      <c r="O206" s="217"/>
    </row>
    <row r="207" spans="1:256" ht="15" customHeight="1" thickTop="1" thickBot="1">
      <c r="A207" s="312">
        <f>+C207/1000000</f>
        <v>9.9999999999999995E-7</v>
      </c>
      <c r="B207" s="59">
        <f>+A207*10000</f>
        <v>0.01</v>
      </c>
      <c r="C207" s="12">
        <v>1</v>
      </c>
      <c r="D207" s="59">
        <f>+B207</f>
        <v>0.01</v>
      </c>
      <c r="E207" s="59">
        <f>+B207/(2.54*2.54)</f>
        <v>1.5500031000062E-3</v>
      </c>
      <c r="F207" s="298">
        <f t="shared" si="10"/>
        <v>1.0763910416709723E-5</v>
      </c>
      <c r="G207" s="217"/>
      <c r="H207" s="217"/>
      <c r="I207" s="217"/>
      <c r="J207" s="217"/>
      <c r="K207" s="217"/>
      <c r="L207" s="217"/>
      <c r="M207" s="217"/>
      <c r="N207" s="217"/>
      <c r="O207" s="217"/>
    </row>
    <row r="208" spans="1:256" ht="15" customHeight="1" thickTop="1" thickBot="1">
      <c r="A208" s="312">
        <f>+D208/10000</f>
        <v>1E-4</v>
      </c>
      <c r="B208" s="59">
        <f t="shared" ref="B208" si="11">+A208*10000</f>
        <v>1</v>
      </c>
      <c r="C208" s="11">
        <f>+B208*100</f>
        <v>100</v>
      </c>
      <c r="D208" s="49">
        <v>1</v>
      </c>
      <c r="E208" s="59">
        <f>+B208/(2.54*2.54)</f>
        <v>0.15500031000062001</v>
      </c>
      <c r="F208" s="298">
        <f t="shared" si="10"/>
        <v>1.0763910416709723E-3</v>
      </c>
      <c r="G208" s="217"/>
      <c r="H208" s="217"/>
      <c r="I208" s="217"/>
      <c r="J208" s="217"/>
      <c r="K208" s="217"/>
      <c r="L208" s="217"/>
      <c r="M208" s="217"/>
      <c r="N208" s="217"/>
      <c r="O208" s="217"/>
    </row>
    <row r="209" spans="1:256" ht="15" customHeight="1" thickTop="1" thickBot="1">
      <c r="A209" s="312">
        <f>+B209/10000</f>
        <v>6.4515999999999998E-4</v>
      </c>
      <c r="B209" s="59">
        <f>+E209*2.54*2.54</f>
        <v>6.4516</v>
      </c>
      <c r="C209" s="11">
        <f>+B209*100</f>
        <v>645.16</v>
      </c>
      <c r="D209" s="54">
        <f>+B209</f>
        <v>6.4516</v>
      </c>
      <c r="E209" s="49">
        <v>1</v>
      </c>
      <c r="F209" s="298">
        <f>+E209/144</f>
        <v>6.9444444444444441E-3</v>
      </c>
      <c r="G209" s="217"/>
      <c r="H209" s="217"/>
      <c r="I209" s="217"/>
      <c r="J209" s="217"/>
      <c r="K209" s="217"/>
      <c r="L209" s="217"/>
      <c r="M209" s="217"/>
      <c r="N209" s="217"/>
      <c r="O209" s="217"/>
    </row>
    <row r="210" spans="1:256" ht="15" customHeight="1" thickTop="1" thickBot="1">
      <c r="A210" s="312">
        <f>+B210/10000</f>
        <v>9.2903039999999992E-2</v>
      </c>
      <c r="B210" s="59">
        <f>+E210*2.54*2.54</f>
        <v>929.03039999999999</v>
      </c>
      <c r="C210" s="11">
        <f>+B210*100</f>
        <v>92903.039999999994</v>
      </c>
      <c r="D210" s="54">
        <f>+B210</f>
        <v>929.03039999999999</v>
      </c>
      <c r="E210" s="59">
        <f>+F210*144</f>
        <v>144</v>
      </c>
      <c r="F210" s="299">
        <v>1</v>
      </c>
      <c r="G210" s="217"/>
      <c r="H210" s="217"/>
      <c r="I210" s="217"/>
      <c r="J210" s="217"/>
      <c r="K210" s="217"/>
      <c r="L210" s="217"/>
      <c r="M210" s="217"/>
      <c r="N210" s="217"/>
      <c r="O210" s="217"/>
    </row>
    <row r="211" spans="1:256" s="337" customFormat="1" ht="15" customHeight="1" thickTop="1" thickBot="1">
      <c r="A211" s="224"/>
      <c r="B211" s="224"/>
      <c r="C211" s="234"/>
      <c r="D211" s="267"/>
      <c r="E211" s="236"/>
      <c r="F211" s="236"/>
      <c r="G211" s="236"/>
      <c r="H211" s="236"/>
      <c r="I211" s="236"/>
      <c r="J211" s="236"/>
      <c r="K211" s="236"/>
      <c r="L211" s="236"/>
      <c r="M211" s="236"/>
      <c r="N211" s="236"/>
      <c r="O211" s="236"/>
      <c r="P211" s="336"/>
      <c r="Q211" s="336"/>
      <c r="R211" s="336"/>
      <c r="S211" s="336"/>
      <c r="T211" s="336"/>
      <c r="U211" s="336"/>
      <c r="V211" s="336"/>
      <c r="W211" s="336"/>
      <c r="X211" s="336"/>
      <c r="Y211" s="336"/>
      <c r="Z211" s="336"/>
      <c r="AA211" s="336"/>
      <c r="AB211" s="336"/>
      <c r="AC211" s="336"/>
      <c r="AD211" s="336"/>
      <c r="AE211" s="336"/>
      <c r="AF211" s="336"/>
      <c r="AG211" s="336"/>
      <c r="AH211" s="336"/>
      <c r="AI211" s="336"/>
      <c r="AJ211" s="336"/>
      <c r="AK211" s="336"/>
      <c r="AL211" s="336"/>
      <c r="AM211" s="336"/>
      <c r="AN211" s="336"/>
      <c r="AO211" s="336"/>
      <c r="AP211" s="336"/>
      <c r="AQ211" s="336"/>
      <c r="AR211" s="336"/>
      <c r="AS211" s="336"/>
      <c r="AT211" s="336"/>
      <c r="AU211" s="336"/>
      <c r="AV211" s="336"/>
      <c r="AW211" s="336"/>
      <c r="AX211" s="336"/>
      <c r="AY211" s="336"/>
      <c r="AZ211" s="336"/>
      <c r="BA211" s="336"/>
      <c r="BB211" s="336"/>
      <c r="BC211" s="336"/>
      <c r="BD211" s="336"/>
      <c r="BE211" s="336"/>
      <c r="BF211" s="336"/>
      <c r="BG211" s="336"/>
      <c r="BH211" s="336"/>
      <c r="BI211" s="336"/>
      <c r="BJ211" s="336"/>
      <c r="BK211" s="336"/>
      <c r="BL211" s="336"/>
      <c r="BM211" s="336"/>
      <c r="BN211" s="336"/>
      <c r="BO211" s="336"/>
      <c r="BP211" s="336"/>
      <c r="BQ211" s="336"/>
      <c r="BR211" s="336"/>
      <c r="BS211" s="336"/>
      <c r="BT211" s="336"/>
      <c r="BU211" s="336"/>
      <c r="BV211" s="336"/>
      <c r="BW211" s="336"/>
      <c r="BX211" s="336"/>
      <c r="BY211" s="336"/>
      <c r="BZ211" s="336"/>
      <c r="CA211" s="336"/>
      <c r="CB211" s="336"/>
      <c r="CC211" s="336"/>
      <c r="CD211" s="336"/>
      <c r="CE211" s="336"/>
      <c r="CF211" s="336"/>
      <c r="CG211" s="336"/>
      <c r="CH211" s="336"/>
      <c r="CI211" s="336"/>
      <c r="CJ211" s="336"/>
      <c r="CK211" s="336"/>
      <c r="CL211" s="336"/>
      <c r="CM211" s="336"/>
      <c r="CN211" s="336"/>
      <c r="CO211" s="336"/>
      <c r="CP211" s="336"/>
      <c r="CQ211" s="336"/>
      <c r="CR211" s="336"/>
      <c r="CS211" s="336"/>
      <c r="CT211" s="336"/>
      <c r="CU211" s="336"/>
      <c r="CV211" s="336"/>
      <c r="CW211" s="336"/>
      <c r="CX211" s="336"/>
      <c r="CY211" s="336"/>
      <c r="CZ211" s="336"/>
      <c r="DA211" s="336"/>
      <c r="DB211" s="336"/>
      <c r="DC211" s="336"/>
      <c r="DD211" s="336"/>
      <c r="DE211" s="336"/>
      <c r="DF211" s="336"/>
      <c r="DG211" s="336"/>
      <c r="DH211" s="336"/>
      <c r="DI211" s="336"/>
      <c r="DJ211" s="336"/>
      <c r="DK211" s="336"/>
      <c r="DL211" s="336"/>
      <c r="DM211" s="336"/>
      <c r="DN211" s="336"/>
      <c r="DO211" s="336"/>
      <c r="DP211" s="336"/>
      <c r="DQ211" s="336"/>
      <c r="DR211" s="336"/>
      <c r="DS211" s="336"/>
      <c r="DT211" s="336"/>
      <c r="DU211" s="336"/>
      <c r="DV211" s="336"/>
      <c r="DW211" s="336"/>
      <c r="DX211" s="336"/>
      <c r="DY211" s="336"/>
      <c r="DZ211" s="336"/>
      <c r="EA211" s="336"/>
      <c r="EB211" s="336"/>
      <c r="EC211" s="336"/>
      <c r="ED211" s="336"/>
      <c r="EE211" s="336"/>
      <c r="EF211" s="336"/>
      <c r="EG211" s="336"/>
      <c r="EH211" s="336"/>
      <c r="EI211" s="336"/>
      <c r="EJ211" s="336"/>
      <c r="EK211" s="336"/>
      <c r="EL211" s="336"/>
      <c r="EM211" s="336"/>
      <c r="EN211" s="336"/>
      <c r="EO211" s="336"/>
      <c r="EP211" s="336"/>
      <c r="EQ211" s="336"/>
      <c r="ER211" s="336"/>
      <c r="ES211" s="336"/>
      <c r="ET211" s="336"/>
      <c r="EU211" s="336"/>
      <c r="EV211" s="336"/>
      <c r="EW211" s="336"/>
      <c r="EX211" s="336"/>
      <c r="EY211" s="336"/>
      <c r="EZ211" s="336"/>
      <c r="FA211" s="336"/>
      <c r="FB211" s="336"/>
      <c r="FC211" s="336"/>
      <c r="FD211" s="336"/>
      <c r="FE211" s="336"/>
      <c r="FF211" s="336"/>
      <c r="FG211" s="336"/>
      <c r="FH211" s="336"/>
      <c r="FI211" s="336"/>
      <c r="FJ211" s="336"/>
      <c r="FK211" s="336"/>
      <c r="FL211" s="336"/>
      <c r="FM211" s="336"/>
      <c r="FN211" s="336"/>
      <c r="FO211" s="336"/>
      <c r="FP211" s="336"/>
      <c r="FQ211" s="336"/>
      <c r="FR211" s="336"/>
      <c r="FS211" s="336"/>
      <c r="FT211" s="336"/>
      <c r="FU211" s="336"/>
      <c r="FV211" s="336"/>
      <c r="FW211" s="336"/>
      <c r="FX211" s="336"/>
      <c r="FY211" s="336"/>
      <c r="FZ211" s="336"/>
      <c r="GA211" s="336"/>
      <c r="GB211" s="336"/>
      <c r="GC211" s="336"/>
      <c r="GD211" s="336"/>
      <c r="GE211" s="336"/>
      <c r="GF211" s="336"/>
      <c r="GG211" s="336"/>
      <c r="GH211" s="336"/>
      <c r="GI211" s="336"/>
      <c r="GJ211" s="336"/>
      <c r="GK211" s="336"/>
      <c r="GL211" s="336"/>
      <c r="GM211" s="336"/>
      <c r="GN211" s="336"/>
      <c r="GO211" s="336"/>
      <c r="GP211" s="336"/>
      <c r="GQ211" s="336"/>
      <c r="GR211" s="336"/>
      <c r="GS211" s="336"/>
      <c r="GT211" s="336"/>
      <c r="GU211" s="336"/>
      <c r="GV211" s="336"/>
      <c r="GW211" s="336"/>
      <c r="GX211" s="336"/>
      <c r="GY211" s="336"/>
      <c r="GZ211" s="336"/>
      <c r="HA211" s="336"/>
      <c r="HB211" s="336"/>
      <c r="HC211" s="336"/>
      <c r="HD211" s="336"/>
      <c r="HE211" s="336"/>
      <c r="HF211" s="336"/>
      <c r="HG211" s="336"/>
      <c r="HH211" s="336"/>
      <c r="HI211" s="336"/>
      <c r="HJ211" s="336"/>
      <c r="HK211" s="336"/>
      <c r="HL211" s="336"/>
      <c r="HM211" s="336"/>
      <c r="HN211" s="336"/>
      <c r="HO211" s="336"/>
      <c r="HP211" s="336"/>
      <c r="HQ211" s="336"/>
      <c r="HR211" s="336"/>
      <c r="HS211" s="336"/>
      <c r="HT211" s="336"/>
      <c r="HU211" s="336"/>
      <c r="HV211" s="336"/>
      <c r="HW211" s="336"/>
      <c r="HX211" s="336"/>
      <c r="HY211" s="336"/>
      <c r="HZ211" s="336"/>
      <c r="IA211" s="336"/>
      <c r="IB211" s="336"/>
      <c r="IC211" s="336"/>
      <c r="ID211" s="336"/>
      <c r="IE211" s="336"/>
      <c r="IF211" s="336"/>
      <c r="IG211" s="336"/>
      <c r="IH211" s="336"/>
      <c r="II211" s="336"/>
      <c r="IJ211" s="336"/>
      <c r="IK211" s="336"/>
      <c r="IL211" s="336"/>
      <c r="IM211" s="336"/>
      <c r="IN211" s="336"/>
      <c r="IO211" s="336"/>
      <c r="IP211" s="336"/>
      <c r="IQ211" s="336"/>
      <c r="IR211" s="336"/>
      <c r="IS211" s="336"/>
      <c r="IT211" s="336"/>
      <c r="IU211" s="336"/>
      <c r="IV211" s="336"/>
    </row>
    <row r="212" spans="1:256" s="337" customFormat="1" ht="15" customHeight="1" thickTop="1">
      <c r="A212" s="146" t="s">
        <v>290</v>
      </c>
      <c r="B212" s="111"/>
      <c r="C212" s="111"/>
      <c r="D212" s="111"/>
      <c r="E212" s="111"/>
      <c r="F212" s="141"/>
      <c r="G212" s="236"/>
      <c r="H212" s="236"/>
      <c r="I212" s="236"/>
      <c r="J212" s="236"/>
      <c r="K212" s="236"/>
      <c r="L212" s="236"/>
      <c r="M212" s="236"/>
      <c r="N212" s="236"/>
      <c r="O212" s="236"/>
      <c r="P212" s="336"/>
      <c r="Q212" s="336"/>
      <c r="R212" s="336"/>
      <c r="S212" s="336"/>
      <c r="T212" s="336"/>
      <c r="U212" s="336"/>
      <c r="V212" s="336"/>
      <c r="W212" s="336"/>
      <c r="X212" s="336"/>
      <c r="Y212" s="336"/>
      <c r="Z212" s="336"/>
      <c r="AA212" s="336"/>
      <c r="AB212" s="336"/>
      <c r="AC212" s="336"/>
      <c r="AD212" s="336"/>
      <c r="AE212" s="336"/>
      <c r="AF212" s="336"/>
      <c r="AG212" s="336"/>
      <c r="AH212" s="336"/>
      <c r="AI212" s="336"/>
      <c r="AJ212" s="336"/>
      <c r="AK212" s="336"/>
      <c r="AL212" s="336"/>
      <c r="AM212" s="336"/>
      <c r="AN212" s="336"/>
      <c r="AO212" s="336"/>
      <c r="AP212" s="336"/>
      <c r="AQ212" s="336"/>
      <c r="AR212" s="336"/>
      <c r="AS212" s="336"/>
      <c r="AT212" s="336"/>
      <c r="AU212" s="336"/>
      <c r="AV212" s="336"/>
      <c r="AW212" s="336"/>
      <c r="AX212" s="336"/>
      <c r="AY212" s="336"/>
      <c r="AZ212" s="336"/>
      <c r="BA212" s="336"/>
      <c r="BB212" s="336"/>
      <c r="BC212" s="336"/>
      <c r="BD212" s="336"/>
      <c r="BE212" s="336"/>
      <c r="BF212" s="336"/>
      <c r="BG212" s="336"/>
      <c r="BH212" s="336"/>
      <c r="BI212" s="336"/>
      <c r="BJ212" s="336"/>
      <c r="BK212" s="336"/>
      <c r="BL212" s="336"/>
      <c r="BM212" s="336"/>
      <c r="BN212" s="336"/>
      <c r="BO212" s="336"/>
      <c r="BP212" s="336"/>
      <c r="BQ212" s="336"/>
      <c r="BR212" s="336"/>
      <c r="BS212" s="336"/>
      <c r="BT212" s="336"/>
      <c r="BU212" s="336"/>
      <c r="BV212" s="336"/>
      <c r="BW212" s="336"/>
      <c r="BX212" s="336"/>
      <c r="BY212" s="336"/>
      <c r="BZ212" s="336"/>
      <c r="CA212" s="336"/>
      <c r="CB212" s="336"/>
      <c r="CC212" s="336"/>
      <c r="CD212" s="336"/>
      <c r="CE212" s="336"/>
      <c r="CF212" s="336"/>
      <c r="CG212" s="336"/>
      <c r="CH212" s="336"/>
      <c r="CI212" s="336"/>
      <c r="CJ212" s="336"/>
      <c r="CK212" s="336"/>
      <c r="CL212" s="336"/>
      <c r="CM212" s="336"/>
      <c r="CN212" s="336"/>
      <c r="CO212" s="336"/>
      <c r="CP212" s="336"/>
      <c r="CQ212" s="336"/>
      <c r="CR212" s="336"/>
      <c r="CS212" s="336"/>
      <c r="CT212" s="336"/>
      <c r="CU212" s="336"/>
      <c r="CV212" s="336"/>
      <c r="CW212" s="336"/>
      <c r="CX212" s="336"/>
      <c r="CY212" s="336"/>
      <c r="CZ212" s="336"/>
      <c r="DA212" s="336"/>
      <c r="DB212" s="336"/>
      <c r="DC212" s="336"/>
      <c r="DD212" s="336"/>
      <c r="DE212" s="336"/>
      <c r="DF212" s="336"/>
      <c r="DG212" s="336"/>
      <c r="DH212" s="336"/>
      <c r="DI212" s="336"/>
      <c r="DJ212" s="336"/>
      <c r="DK212" s="336"/>
      <c r="DL212" s="336"/>
      <c r="DM212" s="336"/>
      <c r="DN212" s="336"/>
      <c r="DO212" s="336"/>
      <c r="DP212" s="336"/>
      <c r="DQ212" s="336"/>
      <c r="DR212" s="336"/>
      <c r="DS212" s="336"/>
      <c r="DT212" s="336"/>
      <c r="DU212" s="336"/>
      <c r="DV212" s="336"/>
      <c r="DW212" s="336"/>
      <c r="DX212" s="336"/>
      <c r="DY212" s="336"/>
      <c r="DZ212" s="336"/>
      <c r="EA212" s="336"/>
      <c r="EB212" s="336"/>
      <c r="EC212" s="336"/>
      <c r="ED212" s="336"/>
      <c r="EE212" s="336"/>
      <c r="EF212" s="336"/>
      <c r="EG212" s="336"/>
      <c r="EH212" s="336"/>
      <c r="EI212" s="336"/>
      <c r="EJ212" s="336"/>
      <c r="EK212" s="336"/>
      <c r="EL212" s="336"/>
      <c r="EM212" s="336"/>
      <c r="EN212" s="336"/>
      <c r="EO212" s="336"/>
      <c r="EP212" s="336"/>
      <c r="EQ212" s="336"/>
      <c r="ER212" s="336"/>
      <c r="ES212" s="336"/>
      <c r="ET212" s="336"/>
      <c r="EU212" s="336"/>
      <c r="EV212" s="336"/>
      <c r="EW212" s="336"/>
      <c r="EX212" s="336"/>
      <c r="EY212" s="336"/>
      <c r="EZ212" s="336"/>
      <c r="FA212" s="336"/>
      <c r="FB212" s="336"/>
      <c r="FC212" s="336"/>
      <c r="FD212" s="336"/>
      <c r="FE212" s="336"/>
      <c r="FF212" s="336"/>
      <c r="FG212" s="336"/>
      <c r="FH212" s="336"/>
      <c r="FI212" s="336"/>
      <c r="FJ212" s="336"/>
      <c r="FK212" s="336"/>
      <c r="FL212" s="336"/>
      <c r="FM212" s="336"/>
      <c r="FN212" s="336"/>
      <c r="FO212" s="336"/>
      <c r="FP212" s="336"/>
      <c r="FQ212" s="336"/>
      <c r="FR212" s="336"/>
      <c r="FS212" s="336"/>
      <c r="FT212" s="336"/>
      <c r="FU212" s="336"/>
      <c r="FV212" s="336"/>
      <c r="FW212" s="336"/>
      <c r="FX212" s="336"/>
      <c r="FY212" s="336"/>
      <c r="FZ212" s="336"/>
      <c r="GA212" s="336"/>
      <c r="GB212" s="336"/>
      <c r="GC212" s="336"/>
      <c r="GD212" s="336"/>
      <c r="GE212" s="336"/>
      <c r="GF212" s="336"/>
      <c r="GG212" s="336"/>
      <c r="GH212" s="336"/>
      <c r="GI212" s="336"/>
      <c r="GJ212" s="336"/>
      <c r="GK212" s="336"/>
      <c r="GL212" s="336"/>
      <c r="GM212" s="336"/>
      <c r="GN212" s="336"/>
      <c r="GO212" s="336"/>
      <c r="GP212" s="336"/>
      <c r="GQ212" s="336"/>
      <c r="GR212" s="336"/>
      <c r="GS212" s="336"/>
      <c r="GT212" s="336"/>
      <c r="GU212" s="336"/>
      <c r="GV212" s="336"/>
      <c r="GW212" s="336"/>
      <c r="GX212" s="336"/>
      <c r="GY212" s="336"/>
      <c r="GZ212" s="336"/>
      <c r="HA212" s="336"/>
      <c r="HB212" s="336"/>
      <c r="HC212" s="336"/>
      <c r="HD212" s="336"/>
      <c r="HE212" s="336"/>
      <c r="HF212" s="336"/>
      <c r="HG212" s="336"/>
      <c r="HH212" s="336"/>
      <c r="HI212" s="336"/>
      <c r="HJ212" s="336"/>
      <c r="HK212" s="336"/>
      <c r="HL212" s="336"/>
      <c r="HM212" s="336"/>
      <c r="HN212" s="336"/>
      <c r="HO212" s="336"/>
      <c r="HP212" s="336"/>
      <c r="HQ212" s="336"/>
      <c r="HR212" s="336"/>
      <c r="HS212" s="336"/>
      <c r="HT212" s="336"/>
      <c r="HU212" s="336"/>
      <c r="HV212" s="336"/>
      <c r="HW212" s="336"/>
      <c r="HX212" s="336"/>
      <c r="HY212" s="336"/>
      <c r="HZ212" s="336"/>
      <c r="IA212" s="336"/>
      <c r="IB212" s="336"/>
      <c r="IC212" s="336"/>
      <c r="ID212" s="336"/>
      <c r="IE212" s="336"/>
      <c r="IF212" s="336"/>
      <c r="IG212" s="336"/>
      <c r="IH212" s="336"/>
      <c r="II212" s="336"/>
      <c r="IJ212" s="336"/>
      <c r="IK212" s="336"/>
      <c r="IL212" s="336"/>
      <c r="IM212" s="336"/>
      <c r="IN212" s="336"/>
      <c r="IO212" s="336"/>
      <c r="IP212" s="336"/>
      <c r="IQ212" s="336"/>
      <c r="IR212" s="336"/>
      <c r="IS212" s="336"/>
      <c r="IT212" s="336"/>
      <c r="IU212" s="336"/>
      <c r="IV212" s="336"/>
    </row>
    <row r="213" spans="1:256" s="337" customFormat="1" ht="15" customHeight="1" thickBot="1">
      <c r="A213" s="113" t="s">
        <v>284</v>
      </c>
      <c r="B213" s="114" t="s">
        <v>287</v>
      </c>
      <c r="C213" s="114" t="s">
        <v>285</v>
      </c>
      <c r="D213" s="114" t="s">
        <v>288</v>
      </c>
      <c r="E213" s="114" t="s">
        <v>295</v>
      </c>
      <c r="F213" s="117" t="s">
        <v>289</v>
      </c>
      <c r="G213" s="236"/>
      <c r="H213" s="236"/>
      <c r="I213" s="236"/>
      <c r="J213" s="236"/>
      <c r="K213" s="236"/>
      <c r="L213" s="236"/>
      <c r="M213" s="236"/>
      <c r="N213" s="236"/>
      <c r="O213" s="236"/>
      <c r="P213" s="336"/>
      <c r="Q213" s="336"/>
      <c r="R213" s="336"/>
      <c r="S213" s="336"/>
      <c r="T213" s="336"/>
      <c r="U213" s="336"/>
      <c r="V213" s="336"/>
      <c r="W213" s="336"/>
      <c r="X213" s="336"/>
      <c r="Y213" s="336"/>
      <c r="Z213" s="336"/>
      <c r="AA213" s="336"/>
      <c r="AB213" s="336"/>
      <c r="AC213" s="336"/>
      <c r="AD213" s="336"/>
      <c r="AE213" s="336"/>
      <c r="AF213" s="336"/>
      <c r="AG213" s="336"/>
      <c r="AH213" s="336"/>
      <c r="AI213" s="336"/>
      <c r="AJ213" s="336"/>
      <c r="AK213" s="336"/>
      <c r="AL213" s="336"/>
      <c r="AM213" s="336"/>
      <c r="AN213" s="336"/>
      <c r="AO213" s="336"/>
      <c r="AP213" s="336"/>
      <c r="AQ213" s="336"/>
      <c r="AR213" s="336"/>
      <c r="AS213" s="336"/>
      <c r="AT213" s="336"/>
      <c r="AU213" s="336"/>
      <c r="AV213" s="336"/>
      <c r="AW213" s="336"/>
      <c r="AX213" s="336"/>
      <c r="AY213" s="336"/>
      <c r="AZ213" s="336"/>
      <c r="BA213" s="336"/>
      <c r="BB213" s="336"/>
      <c r="BC213" s="336"/>
      <c r="BD213" s="336"/>
      <c r="BE213" s="336"/>
      <c r="BF213" s="336"/>
      <c r="BG213" s="336"/>
      <c r="BH213" s="336"/>
      <c r="BI213" s="336"/>
      <c r="BJ213" s="336"/>
      <c r="BK213" s="336"/>
      <c r="BL213" s="336"/>
      <c r="BM213" s="336"/>
      <c r="BN213" s="336"/>
      <c r="BO213" s="336"/>
      <c r="BP213" s="336"/>
      <c r="BQ213" s="336"/>
      <c r="BR213" s="336"/>
      <c r="BS213" s="336"/>
      <c r="BT213" s="336"/>
      <c r="BU213" s="336"/>
      <c r="BV213" s="336"/>
      <c r="BW213" s="336"/>
      <c r="BX213" s="336"/>
      <c r="BY213" s="336"/>
      <c r="BZ213" s="336"/>
      <c r="CA213" s="336"/>
      <c r="CB213" s="336"/>
      <c r="CC213" s="336"/>
      <c r="CD213" s="336"/>
      <c r="CE213" s="336"/>
      <c r="CF213" s="336"/>
      <c r="CG213" s="336"/>
      <c r="CH213" s="336"/>
      <c r="CI213" s="336"/>
      <c r="CJ213" s="336"/>
      <c r="CK213" s="336"/>
      <c r="CL213" s="336"/>
      <c r="CM213" s="336"/>
      <c r="CN213" s="336"/>
      <c r="CO213" s="336"/>
      <c r="CP213" s="336"/>
      <c r="CQ213" s="336"/>
      <c r="CR213" s="336"/>
      <c r="CS213" s="336"/>
      <c r="CT213" s="336"/>
      <c r="CU213" s="336"/>
      <c r="CV213" s="336"/>
      <c r="CW213" s="336"/>
      <c r="CX213" s="336"/>
      <c r="CY213" s="336"/>
      <c r="CZ213" s="336"/>
      <c r="DA213" s="336"/>
      <c r="DB213" s="336"/>
      <c r="DC213" s="336"/>
      <c r="DD213" s="336"/>
      <c r="DE213" s="336"/>
      <c r="DF213" s="336"/>
      <c r="DG213" s="336"/>
      <c r="DH213" s="336"/>
      <c r="DI213" s="336"/>
      <c r="DJ213" s="336"/>
      <c r="DK213" s="336"/>
      <c r="DL213" s="336"/>
      <c r="DM213" s="336"/>
      <c r="DN213" s="336"/>
      <c r="DO213" s="336"/>
      <c r="DP213" s="336"/>
      <c r="DQ213" s="336"/>
      <c r="DR213" s="336"/>
      <c r="DS213" s="336"/>
      <c r="DT213" s="336"/>
      <c r="DU213" s="336"/>
      <c r="DV213" s="336"/>
      <c r="DW213" s="336"/>
      <c r="DX213" s="336"/>
      <c r="DY213" s="336"/>
      <c r="DZ213" s="336"/>
      <c r="EA213" s="336"/>
      <c r="EB213" s="336"/>
      <c r="EC213" s="336"/>
      <c r="ED213" s="336"/>
      <c r="EE213" s="336"/>
      <c r="EF213" s="336"/>
      <c r="EG213" s="336"/>
      <c r="EH213" s="336"/>
      <c r="EI213" s="336"/>
      <c r="EJ213" s="336"/>
      <c r="EK213" s="336"/>
      <c r="EL213" s="336"/>
      <c r="EM213" s="336"/>
      <c r="EN213" s="336"/>
      <c r="EO213" s="336"/>
      <c r="EP213" s="336"/>
      <c r="EQ213" s="336"/>
      <c r="ER213" s="336"/>
      <c r="ES213" s="336"/>
      <c r="ET213" s="336"/>
      <c r="EU213" s="336"/>
      <c r="EV213" s="336"/>
      <c r="EW213" s="336"/>
      <c r="EX213" s="336"/>
      <c r="EY213" s="336"/>
      <c r="EZ213" s="336"/>
      <c r="FA213" s="336"/>
      <c r="FB213" s="336"/>
      <c r="FC213" s="336"/>
      <c r="FD213" s="336"/>
      <c r="FE213" s="336"/>
      <c r="FF213" s="336"/>
      <c r="FG213" s="336"/>
      <c r="FH213" s="336"/>
      <c r="FI213" s="336"/>
      <c r="FJ213" s="336"/>
      <c r="FK213" s="336"/>
      <c r="FL213" s="336"/>
      <c r="FM213" s="336"/>
      <c r="FN213" s="336"/>
      <c r="FO213" s="336"/>
      <c r="FP213" s="336"/>
      <c r="FQ213" s="336"/>
      <c r="FR213" s="336"/>
      <c r="FS213" s="336"/>
      <c r="FT213" s="336"/>
      <c r="FU213" s="336"/>
      <c r="FV213" s="336"/>
      <c r="FW213" s="336"/>
      <c r="FX213" s="336"/>
      <c r="FY213" s="336"/>
      <c r="FZ213" s="336"/>
      <c r="GA213" s="336"/>
      <c r="GB213" s="336"/>
      <c r="GC213" s="336"/>
      <c r="GD213" s="336"/>
      <c r="GE213" s="336"/>
      <c r="GF213" s="336"/>
      <c r="GG213" s="336"/>
      <c r="GH213" s="336"/>
      <c r="GI213" s="336"/>
      <c r="GJ213" s="336"/>
      <c r="GK213" s="336"/>
      <c r="GL213" s="336"/>
      <c r="GM213" s="336"/>
      <c r="GN213" s="336"/>
      <c r="GO213" s="336"/>
      <c r="GP213" s="336"/>
      <c r="GQ213" s="336"/>
      <c r="GR213" s="336"/>
      <c r="GS213" s="336"/>
      <c r="GT213" s="336"/>
      <c r="GU213" s="336"/>
      <c r="GV213" s="336"/>
      <c r="GW213" s="336"/>
      <c r="GX213" s="336"/>
      <c r="GY213" s="336"/>
      <c r="GZ213" s="336"/>
      <c r="HA213" s="336"/>
      <c r="HB213" s="336"/>
      <c r="HC213" s="336"/>
      <c r="HD213" s="336"/>
      <c r="HE213" s="336"/>
      <c r="HF213" s="336"/>
      <c r="HG213" s="336"/>
      <c r="HH213" s="336"/>
      <c r="HI213" s="336"/>
      <c r="HJ213" s="336"/>
      <c r="HK213" s="336"/>
      <c r="HL213" s="336"/>
      <c r="HM213" s="336"/>
      <c r="HN213" s="336"/>
      <c r="HO213" s="336"/>
      <c r="HP213" s="336"/>
      <c r="HQ213" s="336"/>
      <c r="HR213" s="336"/>
      <c r="HS213" s="336"/>
      <c r="HT213" s="336"/>
      <c r="HU213" s="336"/>
      <c r="HV213" s="336"/>
      <c r="HW213" s="336"/>
      <c r="HX213" s="336"/>
      <c r="HY213" s="336"/>
      <c r="HZ213" s="336"/>
      <c r="IA213" s="336"/>
      <c r="IB213" s="336"/>
      <c r="IC213" s="336"/>
      <c r="ID213" s="336"/>
      <c r="IE213" s="336"/>
      <c r="IF213" s="336"/>
      <c r="IG213" s="336"/>
      <c r="IH213" s="336"/>
      <c r="II213" s="336"/>
      <c r="IJ213" s="336"/>
      <c r="IK213" s="336"/>
      <c r="IL213" s="336"/>
      <c r="IM213" s="336"/>
      <c r="IN213" s="336"/>
      <c r="IO213" s="336"/>
      <c r="IP213" s="336"/>
      <c r="IQ213" s="336"/>
      <c r="IR213" s="336"/>
      <c r="IS213" s="336"/>
      <c r="IT213" s="336"/>
      <c r="IU213" s="336"/>
      <c r="IV213" s="336"/>
    </row>
    <row r="214" spans="1:256" ht="15" customHeight="1" thickTop="1" thickBot="1">
      <c r="A214" s="68">
        <v>1000</v>
      </c>
      <c r="B214" s="59">
        <f>+A214/10000</f>
        <v>0.1</v>
      </c>
      <c r="C214" s="11">
        <f>+B214*100</f>
        <v>10</v>
      </c>
      <c r="D214" s="59">
        <f>+A214/4046.8564224</f>
        <v>0.24710538146716532</v>
      </c>
      <c r="E214" s="53">
        <f>+A214/1000000</f>
        <v>1E-3</v>
      </c>
      <c r="F214" s="65">
        <f t="shared" ref="F214:F217" si="12">+A214/(1609.344*1609.344)</f>
        <v>3.8610215854244581E-4</v>
      </c>
      <c r="G214" s="217"/>
      <c r="H214" s="217"/>
      <c r="I214" s="217"/>
      <c r="J214" s="217"/>
      <c r="K214" s="217"/>
      <c r="L214" s="217"/>
      <c r="M214" s="217"/>
      <c r="N214" s="217"/>
      <c r="O214" s="217"/>
    </row>
    <row r="215" spans="1:256" ht="15" customHeight="1" thickTop="1" thickBot="1">
      <c r="A215" s="67">
        <f>+B215*10000</f>
        <v>10000</v>
      </c>
      <c r="B215" s="8">
        <v>1</v>
      </c>
      <c r="C215" s="11">
        <f>+B215*100</f>
        <v>100</v>
      </c>
      <c r="D215" s="59">
        <f>+A215/4046.8564224</f>
        <v>2.4710538146716532</v>
      </c>
      <c r="E215" s="53">
        <f t="shared" ref="E215:E219" si="13">+A215/1000000</f>
        <v>0.01</v>
      </c>
      <c r="F215" s="65">
        <f t="shared" si="12"/>
        <v>3.8610215854244581E-3</v>
      </c>
      <c r="G215" s="217"/>
      <c r="H215" s="217"/>
      <c r="I215" s="217"/>
      <c r="J215" s="217"/>
      <c r="K215" s="217"/>
      <c r="L215" s="217"/>
      <c r="M215" s="217"/>
      <c r="N215" s="217"/>
      <c r="O215" s="217"/>
    </row>
    <row r="216" spans="1:256" ht="15" customHeight="1" thickTop="1" thickBot="1">
      <c r="A216" s="67">
        <f>+C216*100</f>
        <v>100</v>
      </c>
      <c r="B216" s="59">
        <f t="shared" ref="B216:B219" si="14">+A216/10000</f>
        <v>0.01</v>
      </c>
      <c r="C216" s="12">
        <v>1</v>
      </c>
      <c r="D216" s="59">
        <f>+A216/4046.8564224</f>
        <v>2.4710538146716532E-2</v>
      </c>
      <c r="E216" s="53">
        <f t="shared" si="13"/>
        <v>1E-4</v>
      </c>
      <c r="F216" s="65">
        <f t="shared" si="12"/>
        <v>3.8610215854244585E-5</v>
      </c>
      <c r="G216" s="217"/>
      <c r="H216" s="217"/>
      <c r="I216" s="217"/>
      <c r="J216" s="217"/>
      <c r="K216" s="217"/>
      <c r="L216" s="217"/>
      <c r="M216" s="217"/>
      <c r="N216" s="217"/>
      <c r="O216" s="217"/>
    </row>
    <row r="217" spans="1:256" ht="15" customHeight="1" thickTop="1" thickBot="1">
      <c r="A217" s="67">
        <f>+D217*4046.8564224</f>
        <v>4046.8564224000002</v>
      </c>
      <c r="B217" s="59">
        <f t="shared" si="14"/>
        <v>0.40468564224000003</v>
      </c>
      <c r="C217" s="11">
        <f t="shared" ref="C217:C219" si="15">+B217*100</f>
        <v>40.468564224000005</v>
      </c>
      <c r="D217" s="49">
        <v>1</v>
      </c>
      <c r="E217" s="53">
        <f t="shared" si="13"/>
        <v>4.0468564224000001E-3</v>
      </c>
      <c r="F217" s="65">
        <f t="shared" si="12"/>
        <v>1.5625000000000001E-3</v>
      </c>
      <c r="G217" s="217"/>
      <c r="H217" s="217"/>
      <c r="I217" s="217"/>
      <c r="J217" s="217"/>
      <c r="K217" s="217"/>
      <c r="L217" s="217"/>
      <c r="M217" s="217"/>
      <c r="N217" s="217"/>
      <c r="O217" s="217"/>
    </row>
    <row r="218" spans="1:256" ht="15" customHeight="1" thickTop="1" thickBot="1">
      <c r="A218" s="67">
        <f>+E218*1000000</f>
        <v>1000000</v>
      </c>
      <c r="B218" s="59">
        <f t="shared" si="14"/>
        <v>100</v>
      </c>
      <c r="C218" s="11">
        <f t="shared" si="15"/>
        <v>10000</v>
      </c>
      <c r="D218" s="59">
        <f>+A218/4046.8564224</f>
        <v>247.10538146716533</v>
      </c>
      <c r="E218" s="57">
        <v>1</v>
      </c>
      <c r="F218" s="65">
        <f>+A218/(1609.344*1609.344)</f>
        <v>0.38610215854244584</v>
      </c>
      <c r="G218" s="217"/>
      <c r="H218" s="217"/>
      <c r="I218" s="217"/>
      <c r="J218" s="217"/>
      <c r="K218" s="217"/>
      <c r="L218" s="217"/>
      <c r="M218" s="217"/>
      <c r="N218" s="217"/>
      <c r="O218" s="217"/>
    </row>
    <row r="219" spans="1:256" ht="15" customHeight="1" thickTop="1" thickBot="1">
      <c r="A219" s="67">
        <f>+F219*1609.344*1609.344</f>
        <v>2589988.1103360001</v>
      </c>
      <c r="B219" s="59">
        <f t="shared" si="14"/>
        <v>258.99881103360002</v>
      </c>
      <c r="C219" s="11">
        <f t="shared" si="15"/>
        <v>25899.881103360003</v>
      </c>
      <c r="D219" s="59">
        <f>+A219/4046.8564224</f>
        <v>640</v>
      </c>
      <c r="E219" s="53">
        <f t="shared" si="13"/>
        <v>2.5899881103360003</v>
      </c>
      <c r="F219" s="66">
        <v>1</v>
      </c>
      <c r="G219" s="217"/>
      <c r="H219" s="217"/>
      <c r="I219" s="217"/>
      <c r="J219" s="217"/>
      <c r="K219" s="217"/>
      <c r="L219" s="217"/>
      <c r="M219" s="217"/>
      <c r="N219" s="217"/>
      <c r="O219" s="217"/>
    </row>
    <row r="220" spans="1:256" s="337" customFormat="1" ht="15" customHeight="1" thickTop="1" thickBot="1">
      <c r="A220" s="224"/>
      <c r="B220" s="224"/>
      <c r="C220" s="234"/>
      <c r="D220" s="267"/>
      <c r="E220" s="236"/>
      <c r="F220" s="236"/>
      <c r="G220" s="236"/>
      <c r="H220" s="236"/>
      <c r="I220" s="236"/>
      <c r="J220" s="236"/>
      <c r="K220" s="236"/>
      <c r="L220" s="236"/>
      <c r="M220" s="236"/>
      <c r="N220" s="236"/>
      <c r="O220" s="236"/>
      <c r="P220" s="336"/>
      <c r="Q220" s="336"/>
      <c r="R220" s="336"/>
      <c r="S220" s="336"/>
      <c r="T220" s="336"/>
      <c r="U220" s="336"/>
      <c r="V220" s="336"/>
      <c r="W220" s="336"/>
      <c r="X220" s="336"/>
      <c r="Y220" s="336"/>
      <c r="Z220" s="336"/>
      <c r="AA220" s="336"/>
      <c r="AB220" s="336"/>
      <c r="AC220" s="336"/>
      <c r="AD220" s="336"/>
      <c r="AE220" s="336"/>
      <c r="AF220" s="336"/>
      <c r="AG220" s="336"/>
      <c r="AH220" s="336"/>
      <c r="AI220" s="336"/>
      <c r="AJ220" s="336"/>
      <c r="AK220" s="336"/>
      <c r="AL220" s="336"/>
      <c r="AM220" s="336"/>
      <c r="AN220" s="336"/>
      <c r="AO220" s="336"/>
      <c r="AP220" s="336"/>
      <c r="AQ220" s="336"/>
      <c r="AR220" s="336"/>
      <c r="AS220" s="336"/>
      <c r="AT220" s="336"/>
      <c r="AU220" s="336"/>
      <c r="AV220" s="336"/>
      <c r="AW220" s="336"/>
      <c r="AX220" s="336"/>
      <c r="AY220" s="336"/>
      <c r="AZ220" s="336"/>
      <c r="BA220" s="336"/>
      <c r="BB220" s="336"/>
      <c r="BC220" s="336"/>
      <c r="BD220" s="336"/>
      <c r="BE220" s="336"/>
      <c r="BF220" s="336"/>
      <c r="BG220" s="336"/>
      <c r="BH220" s="336"/>
      <c r="BI220" s="336"/>
      <c r="BJ220" s="336"/>
      <c r="BK220" s="336"/>
      <c r="BL220" s="336"/>
      <c r="BM220" s="336"/>
      <c r="BN220" s="336"/>
      <c r="BO220" s="336"/>
      <c r="BP220" s="336"/>
      <c r="BQ220" s="336"/>
      <c r="BR220" s="336"/>
      <c r="BS220" s="336"/>
      <c r="BT220" s="336"/>
      <c r="BU220" s="336"/>
      <c r="BV220" s="336"/>
      <c r="BW220" s="336"/>
      <c r="BX220" s="336"/>
      <c r="BY220" s="336"/>
      <c r="BZ220" s="336"/>
      <c r="CA220" s="336"/>
      <c r="CB220" s="336"/>
      <c r="CC220" s="336"/>
      <c r="CD220" s="336"/>
      <c r="CE220" s="336"/>
      <c r="CF220" s="336"/>
      <c r="CG220" s="336"/>
      <c r="CH220" s="336"/>
      <c r="CI220" s="336"/>
      <c r="CJ220" s="336"/>
      <c r="CK220" s="336"/>
      <c r="CL220" s="336"/>
      <c r="CM220" s="336"/>
      <c r="CN220" s="336"/>
      <c r="CO220" s="336"/>
      <c r="CP220" s="336"/>
      <c r="CQ220" s="336"/>
      <c r="CR220" s="336"/>
      <c r="CS220" s="336"/>
      <c r="CT220" s="336"/>
      <c r="CU220" s="336"/>
      <c r="CV220" s="336"/>
      <c r="CW220" s="336"/>
      <c r="CX220" s="336"/>
      <c r="CY220" s="336"/>
      <c r="CZ220" s="336"/>
      <c r="DA220" s="336"/>
      <c r="DB220" s="336"/>
      <c r="DC220" s="336"/>
      <c r="DD220" s="336"/>
      <c r="DE220" s="336"/>
      <c r="DF220" s="336"/>
      <c r="DG220" s="336"/>
      <c r="DH220" s="336"/>
      <c r="DI220" s="336"/>
      <c r="DJ220" s="336"/>
      <c r="DK220" s="336"/>
      <c r="DL220" s="336"/>
      <c r="DM220" s="336"/>
      <c r="DN220" s="336"/>
      <c r="DO220" s="336"/>
      <c r="DP220" s="336"/>
      <c r="DQ220" s="336"/>
      <c r="DR220" s="336"/>
      <c r="DS220" s="336"/>
      <c r="DT220" s="336"/>
      <c r="DU220" s="336"/>
      <c r="DV220" s="336"/>
      <c r="DW220" s="336"/>
      <c r="DX220" s="336"/>
      <c r="DY220" s="336"/>
      <c r="DZ220" s="336"/>
      <c r="EA220" s="336"/>
      <c r="EB220" s="336"/>
      <c r="EC220" s="336"/>
      <c r="ED220" s="336"/>
      <c r="EE220" s="336"/>
      <c r="EF220" s="336"/>
      <c r="EG220" s="336"/>
      <c r="EH220" s="336"/>
      <c r="EI220" s="336"/>
      <c r="EJ220" s="336"/>
      <c r="EK220" s="336"/>
      <c r="EL220" s="336"/>
      <c r="EM220" s="336"/>
      <c r="EN220" s="336"/>
      <c r="EO220" s="336"/>
      <c r="EP220" s="336"/>
      <c r="EQ220" s="336"/>
      <c r="ER220" s="336"/>
      <c r="ES220" s="336"/>
      <c r="ET220" s="336"/>
      <c r="EU220" s="336"/>
      <c r="EV220" s="336"/>
      <c r="EW220" s="336"/>
      <c r="EX220" s="336"/>
      <c r="EY220" s="336"/>
      <c r="EZ220" s="336"/>
      <c r="FA220" s="336"/>
      <c r="FB220" s="336"/>
      <c r="FC220" s="336"/>
      <c r="FD220" s="336"/>
      <c r="FE220" s="336"/>
      <c r="FF220" s="336"/>
      <c r="FG220" s="336"/>
      <c r="FH220" s="336"/>
      <c r="FI220" s="336"/>
      <c r="FJ220" s="336"/>
      <c r="FK220" s="336"/>
      <c r="FL220" s="336"/>
      <c r="FM220" s="336"/>
      <c r="FN220" s="336"/>
      <c r="FO220" s="336"/>
      <c r="FP220" s="336"/>
      <c r="FQ220" s="336"/>
      <c r="FR220" s="336"/>
      <c r="FS220" s="336"/>
      <c r="FT220" s="336"/>
      <c r="FU220" s="336"/>
      <c r="FV220" s="336"/>
      <c r="FW220" s="336"/>
      <c r="FX220" s="336"/>
      <c r="FY220" s="336"/>
      <c r="FZ220" s="336"/>
      <c r="GA220" s="336"/>
      <c r="GB220" s="336"/>
      <c r="GC220" s="336"/>
      <c r="GD220" s="336"/>
      <c r="GE220" s="336"/>
      <c r="GF220" s="336"/>
      <c r="GG220" s="336"/>
      <c r="GH220" s="336"/>
      <c r="GI220" s="336"/>
      <c r="GJ220" s="336"/>
      <c r="GK220" s="336"/>
      <c r="GL220" s="336"/>
      <c r="GM220" s="336"/>
      <c r="GN220" s="336"/>
      <c r="GO220" s="336"/>
      <c r="GP220" s="336"/>
      <c r="GQ220" s="336"/>
      <c r="GR220" s="336"/>
      <c r="GS220" s="336"/>
      <c r="GT220" s="336"/>
      <c r="GU220" s="336"/>
      <c r="GV220" s="336"/>
      <c r="GW220" s="336"/>
      <c r="GX220" s="336"/>
      <c r="GY220" s="336"/>
      <c r="GZ220" s="336"/>
      <c r="HA220" s="336"/>
      <c r="HB220" s="336"/>
      <c r="HC220" s="336"/>
      <c r="HD220" s="336"/>
      <c r="HE220" s="336"/>
      <c r="HF220" s="336"/>
      <c r="HG220" s="336"/>
      <c r="HH220" s="336"/>
      <c r="HI220" s="336"/>
      <c r="HJ220" s="336"/>
      <c r="HK220" s="336"/>
      <c r="HL220" s="336"/>
      <c r="HM220" s="336"/>
      <c r="HN220" s="336"/>
      <c r="HO220" s="336"/>
      <c r="HP220" s="336"/>
      <c r="HQ220" s="336"/>
      <c r="HR220" s="336"/>
      <c r="HS220" s="336"/>
      <c r="HT220" s="336"/>
      <c r="HU220" s="336"/>
      <c r="HV220" s="336"/>
      <c r="HW220" s="336"/>
      <c r="HX220" s="336"/>
      <c r="HY220" s="336"/>
      <c r="HZ220" s="336"/>
      <c r="IA220" s="336"/>
      <c r="IB220" s="336"/>
      <c r="IC220" s="336"/>
      <c r="ID220" s="336"/>
      <c r="IE220" s="336"/>
      <c r="IF220" s="336"/>
      <c r="IG220" s="336"/>
      <c r="IH220" s="336"/>
      <c r="II220" s="336"/>
      <c r="IJ220" s="336"/>
      <c r="IK220" s="336"/>
      <c r="IL220" s="336"/>
      <c r="IM220" s="336"/>
      <c r="IN220" s="336"/>
      <c r="IO220" s="336"/>
      <c r="IP220" s="336"/>
      <c r="IQ220" s="336"/>
      <c r="IR220" s="336"/>
      <c r="IS220" s="336"/>
      <c r="IT220" s="336"/>
      <c r="IU220" s="336"/>
      <c r="IV220" s="336"/>
    </row>
    <row r="221" spans="1:256" ht="15" customHeight="1" thickTop="1">
      <c r="A221" s="146" t="s">
        <v>267</v>
      </c>
      <c r="B221" s="111"/>
      <c r="C221" s="111"/>
      <c r="D221" s="111"/>
      <c r="E221" s="111"/>
      <c r="F221" s="111"/>
      <c r="G221" s="141"/>
      <c r="H221" s="217"/>
      <c r="I221" s="217"/>
      <c r="J221" s="217"/>
      <c r="K221" s="217"/>
      <c r="L221" s="217"/>
      <c r="M221" s="217"/>
      <c r="N221" s="217"/>
      <c r="O221" s="217"/>
    </row>
    <row r="222" spans="1:256" ht="15" customHeight="1" thickBot="1">
      <c r="A222" s="113" t="s">
        <v>232</v>
      </c>
      <c r="B222" s="114" t="s">
        <v>201</v>
      </c>
      <c r="C222" s="114" t="s">
        <v>233</v>
      </c>
      <c r="D222" s="114" t="s">
        <v>234</v>
      </c>
      <c r="E222" s="114" t="s">
        <v>235</v>
      </c>
      <c r="F222" s="114" t="s">
        <v>236</v>
      </c>
      <c r="G222" s="117" t="s">
        <v>237</v>
      </c>
      <c r="H222" s="217"/>
      <c r="I222" s="217"/>
      <c r="J222" s="217"/>
      <c r="K222" s="217"/>
      <c r="L222" s="217"/>
      <c r="M222" s="217"/>
      <c r="N222" s="217"/>
      <c r="O222" s="217"/>
    </row>
    <row r="223" spans="1:256" ht="15" customHeight="1" thickTop="1" thickBot="1">
      <c r="A223" s="52">
        <v>1</v>
      </c>
      <c r="B223" s="53">
        <f>+A223*1000</f>
        <v>1000</v>
      </c>
      <c r="C223" s="58">
        <f>+B223*100</f>
        <v>100000</v>
      </c>
      <c r="D223" s="11">
        <f>+B223*1000</f>
        <v>1000000</v>
      </c>
      <c r="E223" s="13">
        <f>+B223*0.264172051</f>
        <v>264.17205100000001</v>
      </c>
      <c r="F223" s="13">
        <f>+E223*0.832674188</f>
        <v>219.96924805871961</v>
      </c>
      <c r="G223" s="9">
        <f>+B223*33.814022</f>
        <v>33814.022000000004</v>
      </c>
      <c r="H223" s="217"/>
      <c r="I223" s="217"/>
      <c r="J223" s="217"/>
      <c r="K223" s="217"/>
      <c r="L223" s="217"/>
      <c r="M223" s="217"/>
      <c r="N223" s="217"/>
      <c r="O223" s="217"/>
    </row>
    <row r="224" spans="1:256" ht="15" customHeight="1" thickTop="1" thickBot="1">
      <c r="A224" s="61">
        <f>+B224/1000</f>
        <v>1E-3</v>
      </c>
      <c r="B224" s="57">
        <v>1</v>
      </c>
      <c r="C224" s="58">
        <f>+B224*100</f>
        <v>100</v>
      </c>
      <c r="D224" s="11">
        <f>+B224*1000</f>
        <v>1000</v>
      </c>
      <c r="E224" s="13">
        <f t="shared" ref="E224:E229" si="16">+B224*0.264172051</f>
        <v>0.26417205100000002</v>
      </c>
      <c r="F224" s="13">
        <f t="shared" ref="F224:F227" si="17">+E224*0.832674188</f>
        <v>0.21996924805871962</v>
      </c>
      <c r="G224" s="9">
        <f t="shared" ref="G224:G228" si="18">+B224*33.814022</f>
        <v>33.814022000000001</v>
      </c>
      <c r="H224" s="217"/>
      <c r="I224" s="217"/>
      <c r="J224" s="217"/>
      <c r="K224" s="217"/>
      <c r="L224" s="217"/>
      <c r="M224" s="217"/>
      <c r="N224" s="217"/>
      <c r="O224" s="217"/>
    </row>
    <row r="225" spans="1:256" ht="15" customHeight="1" thickTop="1" thickBot="1">
      <c r="A225" s="61">
        <f>+B225/1000</f>
        <v>1.0000000000000001E-5</v>
      </c>
      <c r="B225" s="53">
        <f>+C225/100</f>
        <v>0.01</v>
      </c>
      <c r="C225" s="12">
        <v>1</v>
      </c>
      <c r="D225" s="11">
        <f>+C225*10</f>
        <v>10</v>
      </c>
      <c r="E225" s="13">
        <f t="shared" si="16"/>
        <v>2.6417205100000003E-3</v>
      </c>
      <c r="F225" s="13">
        <f t="shared" si="17"/>
        <v>2.1996924805871964E-3</v>
      </c>
      <c r="G225" s="9">
        <f t="shared" si="18"/>
        <v>0.33814022000000005</v>
      </c>
      <c r="H225" s="217"/>
      <c r="I225" s="217"/>
      <c r="J225" s="217"/>
      <c r="K225" s="217"/>
      <c r="L225" s="217"/>
      <c r="M225" s="217"/>
      <c r="N225" s="217"/>
      <c r="O225" s="217"/>
    </row>
    <row r="226" spans="1:256" ht="15" customHeight="1" thickTop="1" thickBot="1">
      <c r="A226" s="61">
        <f>+B226/1000</f>
        <v>9.9999999999999995E-7</v>
      </c>
      <c r="B226" s="53">
        <f>+D226/1000</f>
        <v>1E-3</v>
      </c>
      <c r="C226" s="58">
        <f>+D226/10</f>
        <v>0.1</v>
      </c>
      <c r="D226" s="12">
        <v>1</v>
      </c>
      <c r="E226" s="13">
        <f t="shared" si="16"/>
        <v>2.6417205100000003E-4</v>
      </c>
      <c r="F226" s="13">
        <f t="shared" si="17"/>
        <v>2.1996924805871962E-4</v>
      </c>
      <c r="G226" s="9">
        <f t="shared" si="18"/>
        <v>3.3814021999999999E-2</v>
      </c>
      <c r="H226" s="217"/>
      <c r="I226" s="217"/>
      <c r="J226" s="217"/>
      <c r="K226" s="217"/>
      <c r="L226" s="217"/>
      <c r="M226" s="217"/>
      <c r="N226" s="217"/>
      <c r="O226" s="217"/>
    </row>
    <row r="227" spans="1:256" ht="15" customHeight="1" thickTop="1" thickBot="1">
      <c r="A227" s="61">
        <f>+B227/1000</f>
        <v>3.7854118000000001E-3</v>
      </c>
      <c r="B227" s="53">
        <f>+E227*3.7854118</f>
        <v>3.7854117999999999</v>
      </c>
      <c r="C227" s="58">
        <f>+B227*100</f>
        <v>378.54118</v>
      </c>
      <c r="D227" s="58">
        <f>+B227*1000</f>
        <v>3785.4117999999999</v>
      </c>
      <c r="E227" s="8">
        <v>1</v>
      </c>
      <c r="F227" s="13">
        <f t="shared" si="17"/>
        <v>0.83267418800000004</v>
      </c>
      <c r="G227" s="9">
        <f t="shared" si="18"/>
        <v>127.9999978842596</v>
      </c>
      <c r="H227" s="217"/>
      <c r="I227" s="217"/>
      <c r="J227" s="217"/>
      <c r="K227" s="217"/>
      <c r="L227" s="217"/>
      <c r="M227" s="217"/>
      <c r="N227" s="217"/>
      <c r="O227" s="217"/>
    </row>
    <row r="228" spans="1:256" ht="15" customHeight="1" thickTop="1" thickBot="1">
      <c r="A228" s="61">
        <f t="shared" ref="A228:A229" si="19">+B228/1000</f>
        <v>4.54609E-3</v>
      </c>
      <c r="B228" s="53">
        <f>+F228*4.54609</f>
        <v>4.5460900000000004</v>
      </c>
      <c r="C228" s="58">
        <f t="shared" ref="C228:C229" si="20">+B228*100</f>
        <v>454.60900000000004</v>
      </c>
      <c r="D228" s="58">
        <f t="shared" ref="D228:D229" si="21">+B228*1000</f>
        <v>4546.09</v>
      </c>
      <c r="E228" s="13">
        <f t="shared" si="16"/>
        <v>1.2009499193305901</v>
      </c>
      <c r="F228" s="8">
        <v>1</v>
      </c>
      <c r="G228" s="9">
        <f t="shared" si="18"/>
        <v>153.72158727398002</v>
      </c>
      <c r="H228" s="217"/>
      <c r="I228" s="217"/>
      <c r="J228" s="217"/>
      <c r="K228" s="217"/>
      <c r="L228" s="217"/>
      <c r="M228" s="217"/>
      <c r="N228" s="217"/>
      <c r="O228" s="217"/>
    </row>
    <row r="229" spans="1:256" ht="15" customHeight="1" thickTop="1" thickBot="1">
      <c r="A229" s="61">
        <f t="shared" si="19"/>
        <v>2.9573530000000001E-2</v>
      </c>
      <c r="B229" s="53">
        <f>+G229*0.02957353</f>
        <v>29.573530000000002</v>
      </c>
      <c r="C229" s="58">
        <f t="shared" si="20"/>
        <v>2957.3530000000001</v>
      </c>
      <c r="D229" s="58">
        <f t="shared" si="21"/>
        <v>29573.530000000002</v>
      </c>
      <c r="E229" s="13">
        <f t="shared" si="16"/>
        <v>7.8125000754100311</v>
      </c>
      <c r="F229" s="13">
        <f>+E229*0.832674188</f>
        <v>6.5052671565419864</v>
      </c>
      <c r="G229" s="7">
        <v>1000</v>
      </c>
      <c r="H229" s="217"/>
      <c r="I229" s="217"/>
      <c r="J229" s="217"/>
      <c r="K229" s="217"/>
      <c r="L229" s="217"/>
      <c r="M229" s="217"/>
      <c r="N229" s="217"/>
      <c r="O229" s="217"/>
    </row>
    <row r="230" spans="1:256" s="337" customFormat="1" ht="15" customHeight="1" thickTop="1" thickBot="1">
      <c r="A230" s="274"/>
      <c r="B230" s="274"/>
      <c r="C230" s="228"/>
      <c r="D230" s="228"/>
      <c r="E230" s="257"/>
      <c r="F230" s="257"/>
      <c r="G230" s="252"/>
      <c r="H230" s="236"/>
      <c r="I230" s="236"/>
      <c r="J230" s="236"/>
      <c r="K230" s="236"/>
      <c r="L230" s="236"/>
      <c r="M230" s="236"/>
      <c r="N230" s="236"/>
      <c r="O230" s="236"/>
      <c r="P230" s="336"/>
      <c r="Q230" s="336"/>
      <c r="R230" s="336"/>
      <c r="S230" s="336"/>
      <c r="T230" s="336"/>
      <c r="U230" s="336"/>
      <c r="V230" s="336"/>
      <c r="W230" s="336"/>
      <c r="X230" s="336"/>
      <c r="Y230" s="336"/>
      <c r="Z230" s="336"/>
      <c r="AA230" s="336"/>
      <c r="AB230" s="336"/>
      <c r="AC230" s="336"/>
      <c r="AD230" s="336"/>
      <c r="AE230" s="336"/>
      <c r="AF230" s="336"/>
      <c r="AG230" s="336"/>
      <c r="AH230" s="336"/>
      <c r="AI230" s="336"/>
      <c r="AJ230" s="336"/>
      <c r="AK230" s="336"/>
      <c r="AL230" s="336"/>
      <c r="AM230" s="336"/>
      <c r="AN230" s="336"/>
      <c r="AO230" s="336"/>
      <c r="AP230" s="336"/>
      <c r="AQ230" s="336"/>
      <c r="AR230" s="336"/>
      <c r="AS230" s="336"/>
      <c r="AT230" s="336"/>
      <c r="AU230" s="336"/>
      <c r="AV230" s="336"/>
      <c r="AW230" s="336"/>
      <c r="AX230" s="336"/>
      <c r="AY230" s="336"/>
      <c r="AZ230" s="336"/>
      <c r="BA230" s="336"/>
      <c r="BB230" s="336"/>
      <c r="BC230" s="336"/>
      <c r="BD230" s="336"/>
      <c r="BE230" s="336"/>
      <c r="BF230" s="336"/>
      <c r="BG230" s="336"/>
      <c r="BH230" s="336"/>
      <c r="BI230" s="336"/>
      <c r="BJ230" s="336"/>
      <c r="BK230" s="336"/>
      <c r="BL230" s="336"/>
      <c r="BM230" s="336"/>
      <c r="BN230" s="336"/>
      <c r="BO230" s="336"/>
      <c r="BP230" s="336"/>
      <c r="BQ230" s="336"/>
      <c r="BR230" s="336"/>
      <c r="BS230" s="336"/>
      <c r="BT230" s="336"/>
      <c r="BU230" s="336"/>
      <c r="BV230" s="336"/>
      <c r="BW230" s="336"/>
      <c r="BX230" s="336"/>
      <c r="BY230" s="336"/>
      <c r="BZ230" s="336"/>
      <c r="CA230" s="336"/>
      <c r="CB230" s="336"/>
      <c r="CC230" s="336"/>
      <c r="CD230" s="336"/>
      <c r="CE230" s="336"/>
      <c r="CF230" s="336"/>
      <c r="CG230" s="336"/>
      <c r="CH230" s="336"/>
      <c r="CI230" s="336"/>
      <c r="CJ230" s="336"/>
      <c r="CK230" s="336"/>
      <c r="CL230" s="336"/>
      <c r="CM230" s="336"/>
      <c r="CN230" s="336"/>
      <c r="CO230" s="336"/>
      <c r="CP230" s="336"/>
      <c r="CQ230" s="336"/>
      <c r="CR230" s="336"/>
      <c r="CS230" s="336"/>
      <c r="CT230" s="336"/>
      <c r="CU230" s="336"/>
      <c r="CV230" s="336"/>
      <c r="CW230" s="336"/>
      <c r="CX230" s="336"/>
      <c r="CY230" s="336"/>
      <c r="CZ230" s="336"/>
      <c r="DA230" s="336"/>
      <c r="DB230" s="336"/>
      <c r="DC230" s="336"/>
      <c r="DD230" s="336"/>
      <c r="DE230" s="336"/>
      <c r="DF230" s="336"/>
      <c r="DG230" s="336"/>
      <c r="DH230" s="336"/>
      <c r="DI230" s="336"/>
      <c r="DJ230" s="336"/>
      <c r="DK230" s="336"/>
      <c r="DL230" s="336"/>
      <c r="DM230" s="336"/>
      <c r="DN230" s="336"/>
      <c r="DO230" s="336"/>
      <c r="DP230" s="336"/>
      <c r="DQ230" s="336"/>
      <c r="DR230" s="336"/>
      <c r="DS230" s="336"/>
      <c r="DT230" s="336"/>
      <c r="DU230" s="336"/>
      <c r="DV230" s="336"/>
      <c r="DW230" s="336"/>
      <c r="DX230" s="336"/>
      <c r="DY230" s="336"/>
      <c r="DZ230" s="336"/>
      <c r="EA230" s="336"/>
      <c r="EB230" s="336"/>
      <c r="EC230" s="336"/>
      <c r="ED230" s="336"/>
      <c r="EE230" s="336"/>
      <c r="EF230" s="336"/>
      <c r="EG230" s="336"/>
      <c r="EH230" s="336"/>
      <c r="EI230" s="336"/>
      <c r="EJ230" s="336"/>
      <c r="EK230" s="336"/>
      <c r="EL230" s="336"/>
      <c r="EM230" s="336"/>
      <c r="EN230" s="336"/>
      <c r="EO230" s="336"/>
      <c r="EP230" s="336"/>
      <c r="EQ230" s="336"/>
      <c r="ER230" s="336"/>
      <c r="ES230" s="336"/>
      <c r="ET230" s="336"/>
      <c r="EU230" s="336"/>
      <c r="EV230" s="336"/>
      <c r="EW230" s="336"/>
      <c r="EX230" s="336"/>
      <c r="EY230" s="336"/>
      <c r="EZ230" s="336"/>
      <c r="FA230" s="336"/>
      <c r="FB230" s="336"/>
      <c r="FC230" s="336"/>
      <c r="FD230" s="336"/>
      <c r="FE230" s="336"/>
      <c r="FF230" s="336"/>
      <c r="FG230" s="336"/>
      <c r="FH230" s="336"/>
      <c r="FI230" s="336"/>
      <c r="FJ230" s="336"/>
      <c r="FK230" s="336"/>
      <c r="FL230" s="336"/>
      <c r="FM230" s="336"/>
      <c r="FN230" s="336"/>
      <c r="FO230" s="336"/>
      <c r="FP230" s="336"/>
      <c r="FQ230" s="336"/>
      <c r="FR230" s="336"/>
      <c r="FS230" s="336"/>
      <c r="FT230" s="336"/>
      <c r="FU230" s="336"/>
      <c r="FV230" s="336"/>
      <c r="FW230" s="336"/>
      <c r="FX230" s="336"/>
      <c r="FY230" s="336"/>
      <c r="FZ230" s="336"/>
      <c r="GA230" s="336"/>
      <c r="GB230" s="336"/>
      <c r="GC230" s="336"/>
      <c r="GD230" s="336"/>
      <c r="GE230" s="336"/>
      <c r="GF230" s="336"/>
      <c r="GG230" s="336"/>
      <c r="GH230" s="336"/>
      <c r="GI230" s="336"/>
      <c r="GJ230" s="336"/>
      <c r="GK230" s="336"/>
      <c r="GL230" s="336"/>
      <c r="GM230" s="336"/>
      <c r="GN230" s="336"/>
      <c r="GO230" s="336"/>
      <c r="GP230" s="336"/>
      <c r="GQ230" s="336"/>
      <c r="GR230" s="336"/>
      <c r="GS230" s="336"/>
      <c r="GT230" s="336"/>
      <c r="GU230" s="336"/>
      <c r="GV230" s="336"/>
      <c r="GW230" s="336"/>
      <c r="GX230" s="336"/>
      <c r="GY230" s="336"/>
      <c r="GZ230" s="336"/>
      <c r="HA230" s="336"/>
      <c r="HB230" s="336"/>
      <c r="HC230" s="336"/>
      <c r="HD230" s="336"/>
      <c r="HE230" s="336"/>
      <c r="HF230" s="336"/>
      <c r="HG230" s="336"/>
      <c r="HH230" s="336"/>
      <c r="HI230" s="336"/>
      <c r="HJ230" s="336"/>
      <c r="HK230" s="336"/>
      <c r="HL230" s="336"/>
      <c r="HM230" s="336"/>
      <c r="HN230" s="336"/>
      <c r="HO230" s="336"/>
      <c r="HP230" s="336"/>
      <c r="HQ230" s="336"/>
      <c r="HR230" s="336"/>
      <c r="HS230" s="336"/>
      <c r="HT230" s="336"/>
      <c r="HU230" s="336"/>
      <c r="HV230" s="336"/>
      <c r="HW230" s="336"/>
      <c r="HX230" s="336"/>
      <c r="HY230" s="336"/>
      <c r="HZ230" s="336"/>
      <c r="IA230" s="336"/>
      <c r="IB230" s="336"/>
      <c r="IC230" s="336"/>
      <c r="ID230" s="336"/>
      <c r="IE230" s="336"/>
      <c r="IF230" s="336"/>
      <c r="IG230" s="336"/>
      <c r="IH230" s="336"/>
      <c r="II230" s="336"/>
      <c r="IJ230" s="336"/>
      <c r="IK230" s="336"/>
      <c r="IL230" s="336"/>
      <c r="IM230" s="336"/>
      <c r="IN230" s="336"/>
      <c r="IO230" s="336"/>
      <c r="IP230" s="336"/>
      <c r="IQ230" s="336"/>
      <c r="IR230" s="336"/>
      <c r="IS230" s="336"/>
      <c r="IT230" s="336"/>
      <c r="IU230" s="336"/>
      <c r="IV230" s="336"/>
    </row>
    <row r="231" spans="1:256" s="337" customFormat="1" ht="15" customHeight="1" thickTop="1">
      <c r="A231" s="146" t="s">
        <v>268</v>
      </c>
      <c r="B231" s="111"/>
      <c r="C231" s="111"/>
      <c r="D231" s="141"/>
      <c r="E231" s="217"/>
      <c r="F231" s="257"/>
      <c r="G231" s="252"/>
      <c r="H231" s="236"/>
      <c r="I231" s="236"/>
      <c r="J231" s="236"/>
      <c r="K231" s="236"/>
      <c r="L231" s="236"/>
      <c r="M231" s="236"/>
      <c r="N231" s="236"/>
      <c r="O231" s="236"/>
      <c r="P231" s="336"/>
      <c r="Q231" s="336"/>
      <c r="R231" s="336"/>
      <c r="S231" s="336"/>
      <c r="T231" s="336"/>
      <c r="U231" s="336"/>
      <c r="V231" s="336"/>
      <c r="W231" s="336"/>
      <c r="X231" s="336"/>
      <c r="Y231" s="336"/>
      <c r="Z231" s="336"/>
      <c r="AA231" s="336"/>
      <c r="AB231" s="336"/>
      <c r="AC231" s="336"/>
      <c r="AD231" s="336"/>
      <c r="AE231" s="336"/>
      <c r="AF231" s="336"/>
      <c r="AG231" s="336"/>
      <c r="AH231" s="336"/>
      <c r="AI231" s="336"/>
      <c r="AJ231" s="336"/>
      <c r="AK231" s="336"/>
      <c r="AL231" s="336"/>
      <c r="AM231" s="336"/>
      <c r="AN231" s="336"/>
      <c r="AO231" s="336"/>
      <c r="AP231" s="336"/>
      <c r="AQ231" s="336"/>
      <c r="AR231" s="336"/>
      <c r="AS231" s="336"/>
      <c r="AT231" s="336"/>
      <c r="AU231" s="336"/>
      <c r="AV231" s="336"/>
      <c r="AW231" s="336"/>
      <c r="AX231" s="336"/>
      <c r="AY231" s="336"/>
      <c r="AZ231" s="336"/>
      <c r="BA231" s="336"/>
      <c r="BB231" s="336"/>
      <c r="BC231" s="336"/>
      <c r="BD231" s="336"/>
      <c r="BE231" s="336"/>
      <c r="BF231" s="336"/>
      <c r="BG231" s="336"/>
      <c r="BH231" s="336"/>
      <c r="BI231" s="336"/>
      <c r="BJ231" s="336"/>
      <c r="BK231" s="336"/>
      <c r="BL231" s="336"/>
      <c r="BM231" s="336"/>
      <c r="BN231" s="336"/>
      <c r="BO231" s="336"/>
      <c r="BP231" s="336"/>
      <c r="BQ231" s="336"/>
      <c r="BR231" s="336"/>
      <c r="BS231" s="336"/>
      <c r="BT231" s="336"/>
      <c r="BU231" s="336"/>
      <c r="BV231" s="336"/>
      <c r="BW231" s="336"/>
      <c r="BX231" s="336"/>
      <c r="BY231" s="336"/>
      <c r="BZ231" s="336"/>
      <c r="CA231" s="336"/>
      <c r="CB231" s="336"/>
      <c r="CC231" s="336"/>
      <c r="CD231" s="336"/>
      <c r="CE231" s="336"/>
      <c r="CF231" s="336"/>
      <c r="CG231" s="336"/>
      <c r="CH231" s="336"/>
      <c r="CI231" s="336"/>
      <c r="CJ231" s="336"/>
      <c r="CK231" s="336"/>
      <c r="CL231" s="336"/>
      <c r="CM231" s="336"/>
      <c r="CN231" s="336"/>
      <c r="CO231" s="336"/>
      <c r="CP231" s="336"/>
      <c r="CQ231" s="336"/>
      <c r="CR231" s="336"/>
      <c r="CS231" s="336"/>
      <c r="CT231" s="336"/>
      <c r="CU231" s="336"/>
      <c r="CV231" s="336"/>
      <c r="CW231" s="336"/>
      <c r="CX231" s="336"/>
      <c r="CY231" s="336"/>
      <c r="CZ231" s="336"/>
      <c r="DA231" s="336"/>
      <c r="DB231" s="336"/>
      <c r="DC231" s="336"/>
      <c r="DD231" s="336"/>
      <c r="DE231" s="336"/>
      <c r="DF231" s="336"/>
      <c r="DG231" s="336"/>
      <c r="DH231" s="336"/>
      <c r="DI231" s="336"/>
      <c r="DJ231" s="336"/>
      <c r="DK231" s="336"/>
      <c r="DL231" s="336"/>
      <c r="DM231" s="336"/>
      <c r="DN231" s="336"/>
      <c r="DO231" s="336"/>
      <c r="DP231" s="336"/>
      <c r="DQ231" s="336"/>
      <c r="DR231" s="336"/>
      <c r="DS231" s="336"/>
      <c r="DT231" s="336"/>
      <c r="DU231" s="336"/>
      <c r="DV231" s="336"/>
      <c r="DW231" s="336"/>
      <c r="DX231" s="336"/>
      <c r="DY231" s="336"/>
      <c r="DZ231" s="336"/>
      <c r="EA231" s="336"/>
      <c r="EB231" s="336"/>
      <c r="EC231" s="336"/>
      <c r="ED231" s="336"/>
      <c r="EE231" s="336"/>
      <c r="EF231" s="336"/>
      <c r="EG231" s="336"/>
      <c r="EH231" s="336"/>
      <c r="EI231" s="336"/>
      <c r="EJ231" s="336"/>
      <c r="EK231" s="336"/>
      <c r="EL231" s="336"/>
      <c r="EM231" s="336"/>
      <c r="EN231" s="336"/>
      <c r="EO231" s="336"/>
      <c r="EP231" s="336"/>
      <c r="EQ231" s="336"/>
      <c r="ER231" s="336"/>
      <c r="ES231" s="336"/>
      <c r="ET231" s="336"/>
      <c r="EU231" s="336"/>
      <c r="EV231" s="336"/>
      <c r="EW231" s="336"/>
      <c r="EX231" s="336"/>
      <c r="EY231" s="336"/>
      <c r="EZ231" s="336"/>
      <c r="FA231" s="336"/>
      <c r="FB231" s="336"/>
      <c r="FC231" s="336"/>
      <c r="FD231" s="336"/>
      <c r="FE231" s="336"/>
      <c r="FF231" s="336"/>
      <c r="FG231" s="336"/>
      <c r="FH231" s="336"/>
      <c r="FI231" s="336"/>
      <c r="FJ231" s="336"/>
      <c r="FK231" s="336"/>
      <c r="FL231" s="336"/>
      <c r="FM231" s="336"/>
      <c r="FN231" s="336"/>
      <c r="FO231" s="336"/>
      <c r="FP231" s="336"/>
      <c r="FQ231" s="336"/>
      <c r="FR231" s="336"/>
      <c r="FS231" s="336"/>
      <c r="FT231" s="336"/>
      <c r="FU231" s="336"/>
      <c r="FV231" s="336"/>
      <c r="FW231" s="336"/>
      <c r="FX231" s="336"/>
      <c r="FY231" s="336"/>
      <c r="FZ231" s="336"/>
      <c r="GA231" s="336"/>
      <c r="GB231" s="336"/>
      <c r="GC231" s="336"/>
      <c r="GD231" s="336"/>
      <c r="GE231" s="336"/>
      <c r="GF231" s="336"/>
      <c r="GG231" s="336"/>
      <c r="GH231" s="336"/>
      <c r="GI231" s="336"/>
      <c r="GJ231" s="336"/>
      <c r="GK231" s="336"/>
      <c r="GL231" s="336"/>
      <c r="GM231" s="336"/>
      <c r="GN231" s="336"/>
      <c r="GO231" s="336"/>
      <c r="GP231" s="336"/>
      <c r="GQ231" s="336"/>
      <c r="GR231" s="336"/>
      <c r="GS231" s="336"/>
      <c r="GT231" s="336"/>
      <c r="GU231" s="336"/>
      <c r="GV231" s="336"/>
      <c r="GW231" s="336"/>
      <c r="GX231" s="336"/>
      <c r="GY231" s="336"/>
      <c r="GZ231" s="336"/>
      <c r="HA231" s="336"/>
      <c r="HB231" s="336"/>
      <c r="HC231" s="336"/>
      <c r="HD231" s="336"/>
      <c r="HE231" s="336"/>
      <c r="HF231" s="336"/>
      <c r="HG231" s="336"/>
      <c r="HH231" s="336"/>
      <c r="HI231" s="336"/>
      <c r="HJ231" s="336"/>
      <c r="HK231" s="336"/>
      <c r="HL231" s="336"/>
      <c r="HM231" s="336"/>
      <c r="HN231" s="336"/>
      <c r="HO231" s="336"/>
      <c r="HP231" s="336"/>
      <c r="HQ231" s="336"/>
      <c r="HR231" s="336"/>
      <c r="HS231" s="336"/>
      <c r="HT231" s="336"/>
      <c r="HU231" s="336"/>
      <c r="HV231" s="336"/>
      <c r="HW231" s="336"/>
      <c r="HX231" s="336"/>
      <c r="HY231" s="336"/>
      <c r="HZ231" s="336"/>
      <c r="IA231" s="336"/>
      <c r="IB231" s="336"/>
      <c r="IC231" s="336"/>
      <c r="ID231" s="336"/>
      <c r="IE231" s="336"/>
      <c r="IF231" s="336"/>
      <c r="IG231" s="336"/>
      <c r="IH231" s="336"/>
      <c r="II231" s="336"/>
      <c r="IJ231" s="336"/>
      <c r="IK231" s="336"/>
      <c r="IL231" s="336"/>
      <c r="IM231" s="336"/>
      <c r="IN231" s="336"/>
      <c r="IO231" s="336"/>
      <c r="IP231" s="336"/>
      <c r="IQ231" s="336"/>
      <c r="IR231" s="336"/>
      <c r="IS231" s="336"/>
      <c r="IT231" s="336"/>
      <c r="IU231" s="336"/>
      <c r="IV231" s="336"/>
    </row>
    <row r="232" spans="1:256" s="337" customFormat="1" ht="15" customHeight="1" thickBot="1">
      <c r="A232" s="113" t="s">
        <v>228</v>
      </c>
      <c r="B232" s="114" t="s">
        <v>229</v>
      </c>
      <c r="C232" s="114" t="s">
        <v>230</v>
      </c>
      <c r="D232" s="117" t="s">
        <v>231</v>
      </c>
      <c r="E232" s="217"/>
      <c r="F232" s="257"/>
      <c r="G232" s="252"/>
      <c r="H232" s="236"/>
      <c r="I232" s="236"/>
      <c r="J232" s="236"/>
      <c r="K232" s="236"/>
      <c r="L232" s="236"/>
      <c r="M232" s="236"/>
      <c r="N232" s="236"/>
      <c r="O232" s="236"/>
      <c r="P232" s="336"/>
      <c r="Q232" s="336"/>
      <c r="R232" s="336"/>
      <c r="S232" s="336"/>
      <c r="T232" s="336"/>
      <c r="U232" s="336"/>
      <c r="V232" s="336"/>
      <c r="W232" s="336"/>
      <c r="X232" s="336"/>
      <c r="Y232" s="336"/>
      <c r="Z232" s="336"/>
      <c r="AA232" s="336"/>
      <c r="AB232" s="336"/>
      <c r="AC232" s="336"/>
      <c r="AD232" s="336"/>
      <c r="AE232" s="336"/>
      <c r="AF232" s="336"/>
      <c r="AG232" s="336"/>
      <c r="AH232" s="336"/>
      <c r="AI232" s="336"/>
      <c r="AJ232" s="336"/>
      <c r="AK232" s="336"/>
      <c r="AL232" s="336"/>
      <c r="AM232" s="336"/>
      <c r="AN232" s="336"/>
      <c r="AO232" s="336"/>
      <c r="AP232" s="336"/>
      <c r="AQ232" s="336"/>
      <c r="AR232" s="336"/>
      <c r="AS232" s="336"/>
      <c r="AT232" s="336"/>
      <c r="AU232" s="336"/>
      <c r="AV232" s="336"/>
      <c r="AW232" s="336"/>
      <c r="AX232" s="336"/>
      <c r="AY232" s="336"/>
      <c r="AZ232" s="336"/>
      <c r="BA232" s="336"/>
      <c r="BB232" s="336"/>
      <c r="BC232" s="336"/>
      <c r="BD232" s="336"/>
      <c r="BE232" s="336"/>
      <c r="BF232" s="336"/>
      <c r="BG232" s="336"/>
      <c r="BH232" s="336"/>
      <c r="BI232" s="336"/>
      <c r="BJ232" s="336"/>
      <c r="BK232" s="336"/>
      <c r="BL232" s="336"/>
      <c r="BM232" s="336"/>
      <c r="BN232" s="336"/>
      <c r="BO232" s="336"/>
      <c r="BP232" s="336"/>
      <c r="BQ232" s="336"/>
      <c r="BR232" s="336"/>
      <c r="BS232" s="336"/>
      <c r="BT232" s="336"/>
      <c r="BU232" s="336"/>
      <c r="BV232" s="336"/>
      <c r="BW232" s="336"/>
      <c r="BX232" s="336"/>
      <c r="BY232" s="336"/>
      <c r="BZ232" s="336"/>
      <c r="CA232" s="336"/>
      <c r="CB232" s="336"/>
      <c r="CC232" s="336"/>
      <c r="CD232" s="336"/>
      <c r="CE232" s="336"/>
      <c r="CF232" s="336"/>
      <c r="CG232" s="336"/>
      <c r="CH232" s="336"/>
      <c r="CI232" s="336"/>
      <c r="CJ232" s="336"/>
      <c r="CK232" s="336"/>
      <c r="CL232" s="336"/>
      <c r="CM232" s="336"/>
      <c r="CN232" s="336"/>
      <c r="CO232" s="336"/>
      <c r="CP232" s="336"/>
      <c r="CQ232" s="336"/>
      <c r="CR232" s="336"/>
      <c r="CS232" s="336"/>
      <c r="CT232" s="336"/>
      <c r="CU232" s="336"/>
      <c r="CV232" s="336"/>
      <c r="CW232" s="336"/>
      <c r="CX232" s="336"/>
      <c r="CY232" s="336"/>
      <c r="CZ232" s="336"/>
      <c r="DA232" s="336"/>
      <c r="DB232" s="336"/>
      <c r="DC232" s="336"/>
      <c r="DD232" s="336"/>
      <c r="DE232" s="336"/>
      <c r="DF232" s="336"/>
      <c r="DG232" s="336"/>
      <c r="DH232" s="336"/>
      <c r="DI232" s="336"/>
      <c r="DJ232" s="336"/>
      <c r="DK232" s="336"/>
      <c r="DL232" s="336"/>
      <c r="DM232" s="336"/>
      <c r="DN232" s="336"/>
      <c r="DO232" s="336"/>
      <c r="DP232" s="336"/>
      <c r="DQ232" s="336"/>
      <c r="DR232" s="336"/>
      <c r="DS232" s="336"/>
      <c r="DT232" s="336"/>
      <c r="DU232" s="336"/>
      <c r="DV232" s="336"/>
      <c r="DW232" s="336"/>
      <c r="DX232" s="336"/>
      <c r="DY232" s="336"/>
      <c r="DZ232" s="336"/>
      <c r="EA232" s="336"/>
      <c r="EB232" s="336"/>
      <c r="EC232" s="336"/>
      <c r="ED232" s="336"/>
      <c r="EE232" s="336"/>
      <c r="EF232" s="336"/>
      <c r="EG232" s="336"/>
      <c r="EH232" s="336"/>
      <c r="EI232" s="336"/>
      <c r="EJ232" s="336"/>
      <c r="EK232" s="336"/>
      <c r="EL232" s="336"/>
      <c r="EM232" s="336"/>
      <c r="EN232" s="336"/>
      <c r="EO232" s="336"/>
      <c r="EP232" s="336"/>
      <c r="EQ232" s="336"/>
      <c r="ER232" s="336"/>
      <c r="ES232" s="336"/>
      <c r="ET232" s="336"/>
      <c r="EU232" s="336"/>
      <c r="EV232" s="336"/>
      <c r="EW232" s="336"/>
      <c r="EX232" s="336"/>
      <c r="EY232" s="336"/>
      <c r="EZ232" s="336"/>
      <c r="FA232" s="336"/>
      <c r="FB232" s="336"/>
      <c r="FC232" s="336"/>
      <c r="FD232" s="336"/>
      <c r="FE232" s="336"/>
      <c r="FF232" s="336"/>
      <c r="FG232" s="336"/>
      <c r="FH232" s="336"/>
      <c r="FI232" s="336"/>
      <c r="FJ232" s="336"/>
      <c r="FK232" s="336"/>
      <c r="FL232" s="336"/>
      <c r="FM232" s="336"/>
      <c r="FN232" s="336"/>
      <c r="FO232" s="336"/>
      <c r="FP232" s="336"/>
      <c r="FQ232" s="336"/>
      <c r="FR232" s="336"/>
      <c r="FS232" s="336"/>
      <c r="FT232" s="336"/>
      <c r="FU232" s="336"/>
      <c r="FV232" s="336"/>
      <c r="FW232" s="336"/>
      <c r="FX232" s="336"/>
      <c r="FY232" s="336"/>
      <c r="FZ232" s="336"/>
      <c r="GA232" s="336"/>
      <c r="GB232" s="336"/>
      <c r="GC232" s="336"/>
      <c r="GD232" s="336"/>
      <c r="GE232" s="336"/>
      <c r="GF232" s="336"/>
      <c r="GG232" s="336"/>
      <c r="GH232" s="336"/>
      <c r="GI232" s="336"/>
      <c r="GJ232" s="336"/>
      <c r="GK232" s="336"/>
      <c r="GL232" s="336"/>
      <c r="GM232" s="336"/>
      <c r="GN232" s="336"/>
      <c r="GO232" s="336"/>
      <c r="GP232" s="336"/>
      <c r="GQ232" s="336"/>
      <c r="GR232" s="336"/>
      <c r="GS232" s="336"/>
      <c r="GT232" s="336"/>
      <c r="GU232" s="336"/>
      <c r="GV232" s="336"/>
      <c r="GW232" s="336"/>
      <c r="GX232" s="336"/>
      <c r="GY232" s="336"/>
      <c r="GZ232" s="336"/>
      <c r="HA232" s="336"/>
      <c r="HB232" s="336"/>
      <c r="HC232" s="336"/>
      <c r="HD232" s="336"/>
      <c r="HE232" s="336"/>
      <c r="HF232" s="336"/>
      <c r="HG232" s="336"/>
      <c r="HH232" s="336"/>
      <c r="HI232" s="336"/>
      <c r="HJ232" s="336"/>
      <c r="HK232" s="336"/>
      <c r="HL232" s="336"/>
      <c r="HM232" s="336"/>
      <c r="HN232" s="336"/>
      <c r="HO232" s="336"/>
      <c r="HP232" s="336"/>
      <c r="HQ232" s="336"/>
      <c r="HR232" s="336"/>
      <c r="HS232" s="336"/>
      <c r="HT232" s="336"/>
      <c r="HU232" s="336"/>
      <c r="HV232" s="336"/>
      <c r="HW232" s="336"/>
      <c r="HX232" s="336"/>
      <c r="HY232" s="336"/>
      <c r="HZ232" s="336"/>
      <c r="IA232" s="336"/>
      <c r="IB232" s="336"/>
      <c r="IC232" s="336"/>
      <c r="ID232" s="336"/>
      <c r="IE232" s="336"/>
      <c r="IF232" s="336"/>
      <c r="IG232" s="336"/>
      <c r="IH232" s="336"/>
      <c r="II232" s="336"/>
      <c r="IJ232" s="336"/>
      <c r="IK232" s="336"/>
      <c r="IL232" s="336"/>
      <c r="IM232" s="336"/>
      <c r="IN232" s="336"/>
      <c r="IO232" s="336"/>
      <c r="IP232" s="336"/>
      <c r="IQ232" s="336"/>
      <c r="IR232" s="336"/>
      <c r="IS232" s="336"/>
      <c r="IT232" s="336"/>
      <c r="IU232" s="336"/>
      <c r="IV232" s="336"/>
    </row>
    <row r="233" spans="1:256" s="337" customFormat="1" ht="15" customHeight="1" thickTop="1" thickBot="1">
      <c r="A233" s="68">
        <v>2000</v>
      </c>
      <c r="B233" s="59">
        <f>+A233*101.974621</f>
        <v>203949.242</v>
      </c>
      <c r="C233" s="315">
        <f>+A233*0.1019716521</f>
        <v>203.9433042</v>
      </c>
      <c r="D233" s="55">
        <f>+A233*224.809025</f>
        <v>449618.05</v>
      </c>
      <c r="E233" s="217"/>
      <c r="F233" s="257"/>
      <c r="G233" s="252"/>
      <c r="H233" s="236"/>
      <c r="I233" s="236"/>
      <c r="J233" s="236"/>
      <c r="K233" s="236"/>
      <c r="L233" s="236"/>
      <c r="M233" s="236"/>
      <c r="N233" s="236"/>
      <c r="O233" s="236"/>
      <c r="P233" s="336"/>
      <c r="Q233" s="336"/>
      <c r="R233" s="336"/>
      <c r="S233" s="336"/>
      <c r="T233" s="336"/>
      <c r="U233" s="336"/>
      <c r="V233" s="336"/>
      <c r="W233" s="336"/>
      <c r="X233" s="336"/>
      <c r="Y233" s="336"/>
      <c r="Z233" s="336"/>
      <c r="AA233" s="336"/>
      <c r="AB233" s="336"/>
      <c r="AC233" s="336"/>
      <c r="AD233" s="336"/>
      <c r="AE233" s="336"/>
      <c r="AF233" s="336"/>
      <c r="AG233" s="336"/>
      <c r="AH233" s="336"/>
      <c r="AI233" s="336"/>
      <c r="AJ233" s="336"/>
      <c r="AK233" s="336"/>
      <c r="AL233" s="336"/>
      <c r="AM233" s="336"/>
      <c r="AN233" s="336"/>
      <c r="AO233" s="336"/>
      <c r="AP233" s="336"/>
      <c r="AQ233" s="336"/>
      <c r="AR233" s="336"/>
      <c r="AS233" s="336"/>
      <c r="AT233" s="336"/>
      <c r="AU233" s="336"/>
      <c r="AV233" s="336"/>
      <c r="AW233" s="336"/>
      <c r="AX233" s="336"/>
      <c r="AY233" s="336"/>
      <c r="AZ233" s="336"/>
      <c r="BA233" s="336"/>
      <c r="BB233" s="336"/>
      <c r="BC233" s="336"/>
      <c r="BD233" s="336"/>
      <c r="BE233" s="336"/>
      <c r="BF233" s="336"/>
      <c r="BG233" s="336"/>
      <c r="BH233" s="336"/>
      <c r="BI233" s="336"/>
      <c r="BJ233" s="336"/>
      <c r="BK233" s="336"/>
      <c r="BL233" s="336"/>
      <c r="BM233" s="336"/>
      <c r="BN233" s="336"/>
      <c r="BO233" s="336"/>
      <c r="BP233" s="336"/>
      <c r="BQ233" s="336"/>
      <c r="BR233" s="336"/>
      <c r="BS233" s="336"/>
      <c r="BT233" s="336"/>
      <c r="BU233" s="336"/>
      <c r="BV233" s="336"/>
      <c r="BW233" s="336"/>
      <c r="BX233" s="336"/>
      <c r="BY233" s="336"/>
      <c r="BZ233" s="336"/>
      <c r="CA233" s="336"/>
      <c r="CB233" s="336"/>
      <c r="CC233" s="336"/>
      <c r="CD233" s="336"/>
      <c r="CE233" s="336"/>
      <c r="CF233" s="336"/>
      <c r="CG233" s="336"/>
      <c r="CH233" s="336"/>
      <c r="CI233" s="336"/>
      <c r="CJ233" s="336"/>
      <c r="CK233" s="336"/>
      <c r="CL233" s="336"/>
      <c r="CM233" s="336"/>
      <c r="CN233" s="336"/>
      <c r="CO233" s="336"/>
      <c r="CP233" s="336"/>
      <c r="CQ233" s="336"/>
      <c r="CR233" s="336"/>
      <c r="CS233" s="336"/>
      <c r="CT233" s="336"/>
      <c r="CU233" s="336"/>
      <c r="CV233" s="336"/>
      <c r="CW233" s="336"/>
      <c r="CX233" s="336"/>
      <c r="CY233" s="336"/>
      <c r="CZ233" s="336"/>
      <c r="DA233" s="336"/>
      <c r="DB233" s="336"/>
      <c r="DC233" s="336"/>
      <c r="DD233" s="336"/>
      <c r="DE233" s="336"/>
      <c r="DF233" s="336"/>
      <c r="DG233" s="336"/>
      <c r="DH233" s="336"/>
      <c r="DI233" s="336"/>
      <c r="DJ233" s="336"/>
      <c r="DK233" s="336"/>
      <c r="DL233" s="336"/>
      <c r="DM233" s="336"/>
      <c r="DN233" s="336"/>
      <c r="DO233" s="336"/>
      <c r="DP233" s="336"/>
      <c r="DQ233" s="336"/>
      <c r="DR233" s="336"/>
      <c r="DS233" s="336"/>
      <c r="DT233" s="336"/>
      <c r="DU233" s="336"/>
      <c r="DV233" s="336"/>
      <c r="DW233" s="336"/>
      <c r="DX233" s="336"/>
      <c r="DY233" s="336"/>
      <c r="DZ233" s="336"/>
      <c r="EA233" s="336"/>
      <c r="EB233" s="336"/>
      <c r="EC233" s="336"/>
      <c r="ED233" s="336"/>
      <c r="EE233" s="336"/>
      <c r="EF233" s="336"/>
      <c r="EG233" s="336"/>
      <c r="EH233" s="336"/>
      <c r="EI233" s="336"/>
      <c r="EJ233" s="336"/>
      <c r="EK233" s="336"/>
      <c r="EL233" s="336"/>
      <c r="EM233" s="336"/>
      <c r="EN233" s="336"/>
      <c r="EO233" s="336"/>
      <c r="EP233" s="336"/>
      <c r="EQ233" s="336"/>
      <c r="ER233" s="336"/>
      <c r="ES233" s="336"/>
      <c r="ET233" s="336"/>
      <c r="EU233" s="336"/>
      <c r="EV233" s="336"/>
      <c r="EW233" s="336"/>
      <c r="EX233" s="336"/>
      <c r="EY233" s="336"/>
      <c r="EZ233" s="336"/>
      <c r="FA233" s="336"/>
      <c r="FB233" s="336"/>
      <c r="FC233" s="336"/>
      <c r="FD233" s="336"/>
      <c r="FE233" s="336"/>
      <c r="FF233" s="336"/>
      <c r="FG233" s="336"/>
      <c r="FH233" s="336"/>
      <c r="FI233" s="336"/>
      <c r="FJ233" s="336"/>
      <c r="FK233" s="336"/>
      <c r="FL233" s="336"/>
      <c r="FM233" s="336"/>
      <c r="FN233" s="336"/>
      <c r="FO233" s="336"/>
      <c r="FP233" s="336"/>
      <c r="FQ233" s="336"/>
      <c r="FR233" s="336"/>
      <c r="FS233" s="336"/>
      <c r="FT233" s="336"/>
      <c r="FU233" s="336"/>
      <c r="FV233" s="336"/>
      <c r="FW233" s="336"/>
      <c r="FX233" s="336"/>
      <c r="FY233" s="336"/>
      <c r="FZ233" s="336"/>
      <c r="GA233" s="336"/>
      <c r="GB233" s="336"/>
      <c r="GC233" s="336"/>
      <c r="GD233" s="336"/>
      <c r="GE233" s="336"/>
      <c r="GF233" s="336"/>
      <c r="GG233" s="336"/>
      <c r="GH233" s="336"/>
      <c r="GI233" s="336"/>
      <c r="GJ233" s="336"/>
      <c r="GK233" s="336"/>
      <c r="GL233" s="336"/>
      <c r="GM233" s="336"/>
      <c r="GN233" s="336"/>
      <c r="GO233" s="336"/>
      <c r="GP233" s="336"/>
      <c r="GQ233" s="336"/>
      <c r="GR233" s="336"/>
      <c r="GS233" s="336"/>
      <c r="GT233" s="336"/>
      <c r="GU233" s="336"/>
      <c r="GV233" s="336"/>
      <c r="GW233" s="336"/>
      <c r="GX233" s="336"/>
      <c r="GY233" s="336"/>
      <c r="GZ233" s="336"/>
      <c r="HA233" s="336"/>
      <c r="HB233" s="336"/>
      <c r="HC233" s="336"/>
      <c r="HD233" s="336"/>
      <c r="HE233" s="336"/>
      <c r="HF233" s="336"/>
      <c r="HG233" s="336"/>
      <c r="HH233" s="336"/>
      <c r="HI233" s="336"/>
      <c r="HJ233" s="336"/>
      <c r="HK233" s="336"/>
      <c r="HL233" s="336"/>
      <c r="HM233" s="336"/>
      <c r="HN233" s="336"/>
      <c r="HO233" s="336"/>
      <c r="HP233" s="336"/>
      <c r="HQ233" s="336"/>
      <c r="HR233" s="336"/>
      <c r="HS233" s="336"/>
      <c r="HT233" s="336"/>
      <c r="HU233" s="336"/>
      <c r="HV233" s="336"/>
      <c r="HW233" s="336"/>
      <c r="HX233" s="336"/>
      <c r="HY233" s="336"/>
      <c r="HZ233" s="336"/>
      <c r="IA233" s="336"/>
      <c r="IB233" s="336"/>
      <c r="IC233" s="336"/>
      <c r="ID233" s="336"/>
      <c r="IE233" s="336"/>
      <c r="IF233" s="336"/>
      <c r="IG233" s="336"/>
      <c r="IH233" s="336"/>
      <c r="II233" s="336"/>
      <c r="IJ233" s="336"/>
      <c r="IK233" s="336"/>
      <c r="IL233" s="336"/>
      <c r="IM233" s="336"/>
      <c r="IN233" s="336"/>
      <c r="IO233" s="336"/>
      <c r="IP233" s="336"/>
      <c r="IQ233" s="336"/>
      <c r="IR233" s="336"/>
      <c r="IS233" s="336"/>
      <c r="IT233" s="336"/>
      <c r="IU233" s="336"/>
      <c r="IV233" s="336"/>
    </row>
    <row r="234" spans="1:256" s="337" customFormat="1" ht="15" customHeight="1" thickTop="1" thickBot="1">
      <c r="A234" s="67">
        <f>C234*9.80665</f>
        <v>0.98066500000000001</v>
      </c>
      <c r="B234" s="49">
        <v>100</v>
      </c>
      <c r="C234" s="315">
        <f>+B234*0.001</f>
        <v>0.1</v>
      </c>
      <c r="D234" s="55">
        <f>+B234*2.20462342</f>
        <v>220.46234199999998</v>
      </c>
      <c r="E234" s="217"/>
      <c r="F234" s="257"/>
      <c r="G234" s="252"/>
      <c r="H234" s="236"/>
      <c r="I234" s="236"/>
      <c r="J234" s="236"/>
      <c r="K234" s="236"/>
      <c r="L234" s="236"/>
      <c r="M234" s="236"/>
      <c r="N234" s="236"/>
      <c r="O234" s="236"/>
      <c r="P234" s="336"/>
      <c r="Q234" s="336"/>
      <c r="R234" s="336"/>
      <c r="S234" s="336"/>
      <c r="T234" s="336"/>
      <c r="U234" s="336"/>
      <c r="V234" s="336"/>
      <c r="W234" s="336"/>
      <c r="X234" s="336"/>
      <c r="Y234" s="336"/>
      <c r="Z234" s="336"/>
      <c r="AA234" s="336"/>
      <c r="AB234" s="336"/>
      <c r="AC234" s="336"/>
      <c r="AD234" s="336"/>
      <c r="AE234" s="336"/>
      <c r="AF234" s="336"/>
      <c r="AG234" s="336"/>
      <c r="AH234" s="336"/>
      <c r="AI234" s="336"/>
      <c r="AJ234" s="336"/>
      <c r="AK234" s="336"/>
      <c r="AL234" s="336"/>
      <c r="AM234" s="336"/>
      <c r="AN234" s="336"/>
      <c r="AO234" s="336"/>
      <c r="AP234" s="336"/>
      <c r="AQ234" s="336"/>
      <c r="AR234" s="336"/>
      <c r="AS234" s="336"/>
      <c r="AT234" s="336"/>
      <c r="AU234" s="336"/>
      <c r="AV234" s="336"/>
      <c r="AW234" s="336"/>
      <c r="AX234" s="336"/>
      <c r="AY234" s="336"/>
      <c r="AZ234" s="336"/>
      <c r="BA234" s="336"/>
      <c r="BB234" s="336"/>
      <c r="BC234" s="336"/>
      <c r="BD234" s="336"/>
      <c r="BE234" s="336"/>
      <c r="BF234" s="336"/>
      <c r="BG234" s="336"/>
      <c r="BH234" s="336"/>
      <c r="BI234" s="336"/>
      <c r="BJ234" s="336"/>
      <c r="BK234" s="336"/>
      <c r="BL234" s="336"/>
      <c r="BM234" s="336"/>
      <c r="BN234" s="336"/>
      <c r="BO234" s="336"/>
      <c r="BP234" s="336"/>
      <c r="BQ234" s="336"/>
      <c r="BR234" s="336"/>
      <c r="BS234" s="336"/>
      <c r="BT234" s="336"/>
      <c r="BU234" s="336"/>
      <c r="BV234" s="336"/>
      <c r="BW234" s="336"/>
      <c r="BX234" s="336"/>
      <c r="BY234" s="336"/>
      <c r="BZ234" s="336"/>
      <c r="CA234" s="336"/>
      <c r="CB234" s="336"/>
      <c r="CC234" s="336"/>
      <c r="CD234" s="336"/>
      <c r="CE234" s="336"/>
      <c r="CF234" s="336"/>
      <c r="CG234" s="336"/>
      <c r="CH234" s="336"/>
      <c r="CI234" s="336"/>
      <c r="CJ234" s="336"/>
      <c r="CK234" s="336"/>
      <c r="CL234" s="336"/>
      <c r="CM234" s="336"/>
      <c r="CN234" s="336"/>
      <c r="CO234" s="336"/>
      <c r="CP234" s="336"/>
      <c r="CQ234" s="336"/>
      <c r="CR234" s="336"/>
      <c r="CS234" s="336"/>
      <c r="CT234" s="336"/>
      <c r="CU234" s="336"/>
      <c r="CV234" s="336"/>
      <c r="CW234" s="336"/>
      <c r="CX234" s="336"/>
      <c r="CY234" s="336"/>
      <c r="CZ234" s="336"/>
      <c r="DA234" s="336"/>
      <c r="DB234" s="336"/>
      <c r="DC234" s="336"/>
      <c r="DD234" s="336"/>
      <c r="DE234" s="336"/>
      <c r="DF234" s="336"/>
      <c r="DG234" s="336"/>
      <c r="DH234" s="336"/>
      <c r="DI234" s="336"/>
      <c r="DJ234" s="336"/>
      <c r="DK234" s="336"/>
      <c r="DL234" s="336"/>
      <c r="DM234" s="336"/>
      <c r="DN234" s="336"/>
      <c r="DO234" s="336"/>
      <c r="DP234" s="336"/>
      <c r="DQ234" s="336"/>
      <c r="DR234" s="336"/>
      <c r="DS234" s="336"/>
      <c r="DT234" s="336"/>
      <c r="DU234" s="336"/>
      <c r="DV234" s="336"/>
      <c r="DW234" s="336"/>
      <c r="DX234" s="336"/>
      <c r="DY234" s="336"/>
      <c r="DZ234" s="336"/>
      <c r="EA234" s="336"/>
      <c r="EB234" s="336"/>
      <c r="EC234" s="336"/>
      <c r="ED234" s="336"/>
      <c r="EE234" s="336"/>
      <c r="EF234" s="336"/>
      <c r="EG234" s="336"/>
      <c r="EH234" s="336"/>
      <c r="EI234" s="336"/>
      <c r="EJ234" s="336"/>
      <c r="EK234" s="336"/>
      <c r="EL234" s="336"/>
      <c r="EM234" s="336"/>
      <c r="EN234" s="336"/>
      <c r="EO234" s="336"/>
      <c r="EP234" s="336"/>
      <c r="EQ234" s="336"/>
      <c r="ER234" s="336"/>
      <c r="ES234" s="336"/>
      <c r="ET234" s="336"/>
      <c r="EU234" s="336"/>
      <c r="EV234" s="336"/>
      <c r="EW234" s="336"/>
      <c r="EX234" s="336"/>
      <c r="EY234" s="336"/>
      <c r="EZ234" s="336"/>
      <c r="FA234" s="336"/>
      <c r="FB234" s="336"/>
      <c r="FC234" s="336"/>
      <c r="FD234" s="336"/>
      <c r="FE234" s="336"/>
      <c r="FF234" s="336"/>
      <c r="FG234" s="336"/>
      <c r="FH234" s="336"/>
      <c r="FI234" s="336"/>
      <c r="FJ234" s="336"/>
      <c r="FK234" s="336"/>
      <c r="FL234" s="336"/>
      <c r="FM234" s="336"/>
      <c r="FN234" s="336"/>
      <c r="FO234" s="336"/>
      <c r="FP234" s="336"/>
      <c r="FQ234" s="336"/>
      <c r="FR234" s="336"/>
      <c r="FS234" s="336"/>
      <c r="FT234" s="336"/>
      <c r="FU234" s="336"/>
      <c r="FV234" s="336"/>
      <c r="FW234" s="336"/>
      <c r="FX234" s="336"/>
      <c r="FY234" s="336"/>
      <c r="FZ234" s="336"/>
      <c r="GA234" s="336"/>
      <c r="GB234" s="336"/>
      <c r="GC234" s="336"/>
      <c r="GD234" s="336"/>
      <c r="GE234" s="336"/>
      <c r="GF234" s="336"/>
      <c r="GG234" s="336"/>
      <c r="GH234" s="336"/>
      <c r="GI234" s="336"/>
      <c r="GJ234" s="336"/>
      <c r="GK234" s="336"/>
      <c r="GL234" s="336"/>
      <c r="GM234" s="336"/>
      <c r="GN234" s="336"/>
      <c r="GO234" s="336"/>
      <c r="GP234" s="336"/>
      <c r="GQ234" s="336"/>
      <c r="GR234" s="336"/>
      <c r="GS234" s="336"/>
      <c r="GT234" s="336"/>
      <c r="GU234" s="336"/>
      <c r="GV234" s="336"/>
      <c r="GW234" s="336"/>
      <c r="GX234" s="336"/>
      <c r="GY234" s="336"/>
      <c r="GZ234" s="336"/>
      <c r="HA234" s="336"/>
      <c r="HB234" s="336"/>
      <c r="HC234" s="336"/>
      <c r="HD234" s="336"/>
      <c r="HE234" s="336"/>
      <c r="HF234" s="336"/>
      <c r="HG234" s="336"/>
      <c r="HH234" s="336"/>
      <c r="HI234" s="336"/>
      <c r="HJ234" s="336"/>
      <c r="HK234" s="336"/>
      <c r="HL234" s="336"/>
      <c r="HM234" s="336"/>
      <c r="HN234" s="336"/>
      <c r="HO234" s="336"/>
      <c r="HP234" s="336"/>
      <c r="HQ234" s="336"/>
      <c r="HR234" s="336"/>
      <c r="HS234" s="336"/>
      <c r="HT234" s="336"/>
      <c r="HU234" s="336"/>
      <c r="HV234" s="336"/>
      <c r="HW234" s="336"/>
      <c r="HX234" s="336"/>
      <c r="HY234" s="336"/>
      <c r="HZ234" s="336"/>
      <c r="IA234" s="336"/>
      <c r="IB234" s="336"/>
      <c r="IC234" s="336"/>
      <c r="ID234" s="336"/>
      <c r="IE234" s="336"/>
      <c r="IF234" s="336"/>
      <c r="IG234" s="336"/>
      <c r="IH234" s="336"/>
      <c r="II234" s="336"/>
      <c r="IJ234" s="336"/>
      <c r="IK234" s="336"/>
      <c r="IL234" s="336"/>
      <c r="IM234" s="336"/>
      <c r="IN234" s="336"/>
      <c r="IO234" s="336"/>
      <c r="IP234" s="336"/>
      <c r="IQ234" s="336"/>
      <c r="IR234" s="336"/>
      <c r="IS234" s="336"/>
      <c r="IT234" s="336"/>
      <c r="IU234" s="336"/>
      <c r="IV234" s="336"/>
    </row>
    <row r="235" spans="1:256" s="337" customFormat="1" ht="15" customHeight="1" thickTop="1" thickBot="1">
      <c r="A235" s="67">
        <f>+C235*9.80665</f>
        <v>1800.5009399999999</v>
      </c>
      <c r="B235" s="59">
        <f>+C235*1000</f>
        <v>183600</v>
      </c>
      <c r="C235" s="8">
        <v>183.6</v>
      </c>
      <c r="D235" s="55">
        <f>+C235*2204.62342</f>
        <v>404768.85991199996</v>
      </c>
      <c r="E235" s="217"/>
      <c r="F235" s="257"/>
      <c r="G235" s="252"/>
      <c r="H235" s="236"/>
      <c r="I235" s="236"/>
      <c r="J235" s="236"/>
      <c r="K235" s="236"/>
      <c r="L235" s="236"/>
      <c r="M235" s="236"/>
      <c r="N235" s="236"/>
      <c r="O235" s="236"/>
      <c r="P235" s="336"/>
      <c r="Q235" s="336"/>
      <c r="R235" s="336"/>
      <c r="S235" s="336"/>
      <c r="T235" s="336"/>
      <c r="U235" s="336"/>
      <c r="V235" s="336"/>
      <c r="W235" s="336"/>
      <c r="X235" s="336"/>
      <c r="Y235" s="336"/>
      <c r="Z235" s="336"/>
      <c r="AA235" s="336"/>
      <c r="AB235" s="336"/>
      <c r="AC235" s="336"/>
      <c r="AD235" s="336"/>
      <c r="AE235" s="336"/>
      <c r="AF235" s="336"/>
      <c r="AG235" s="336"/>
      <c r="AH235" s="336"/>
      <c r="AI235" s="336"/>
      <c r="AJ235" s="336"/>
      <c r="AK235" s="336"/>
      <c r="AL235" s="336"/>
      <c r="AM235" s="336"/>
      <c r="AN235" s="336"/>
      <c r="AO235" s="336"/>
      <c r="AP235" s="336"/>
      <c r="AQ235" s="336"/>
      <c r="AR235" s="336"/>
      <c r="AS235" s="336"/>
      <c r="AT235" s="336"/>
      <c r="AU235" s="336"/>
      <c r="AV235" s="336"/>
      <c r="AW235" s="336"/>
      <c r="AX235" s="336"/>
      <c r="AY235" s="336"/>
      <c r="AZ235" s="336"/>
      <c r="BA235" s="336"/>
      <c r="BB235" s="336"/>
      <c r="BC235" s="336"/>
      <c r="BD235" s="336"/>
      <c r="BE235" s="336"/>
      <c r="BF235" s="336"/>
      <c r="BG235" s="336"/>
      <c r="BH235" s="336"/>
      <c r="BI235" s="336"/>
      <c r="BJ235" s="336"/>
      <c r="BK235" s="336"/>
      <c r="BL235" s="336"/>
      <c r="BM235" s="336"/>
      <c r="BN235" s="336"/>
      <c r="BO235" s="336"/>
      <c r="BP235" s="336"/>
      <c r="BQ235" s="336"/>
      <c r="BR235" s="336"/>
      <c r="BS235" s="336"/>
      <c r="BT235" s="336"/>
      <c r="BU235" s="336"/>
      <c r="BV235" s="336"/>
      <c r="BW235" s="336"/>
      <c r="BX235" s="336"/>
      <c r="BY235" s="336"/>
      <c r="BZ235" s="336"/>
      <c r="CA235" s="336"/>
      <c r="CB235" s="336"/>
      <c r="CC235" s="336"/>
      <c r="CD235" s="336"/>
      <c r="CE235" s="336"/>
      <c r="CF235" s="336"/>
      <c r="CG235" s="336"/>
      <c r="CH235" s="336"/>
      <c r="CI235" s="336"/>
      <c r="CJ235" s="336"/>
      <c r="CK235" s="336"/>
      <c r="CL235" s="336"/>
      <c r="CM235" s="336"/>
      <c r="CN235" s="336"/>
      <c r="CO235" s="336"/>
      <c r="CP235" s="336"/>
      <c r="CQ235" s="336"/>
      <c r="CR235" s="336"/>
      <c r="CS235" s="336"/>
      <c r="CT235" s="336"/>
      <c r="CU235" s="336"/>
      <c r="CV235" s="336"/>
      <c r="CW235" s="336"/>
      <c r="CX235" s="336"/>
      <c r="CY235" s="336"/>
      <c r="CZ235" s="336"/>
      <c r="DA235" s="336"/>
      <c r="DB235" s="336"/>
      <c r="DC235" s="336"/>
      <c r="DD235" s="336"/>
      <c r="DE235" s="336"/>
      <c r="DF235" s="336"/>
      <c r="DG235" s="336"/>
      <c r="DH235" s="336"/>
      <c r="DI235" s="336"/>
      <c r="DJ235" s="336"/>
      <c r="DK235" s="336"/>
      <c r="DL235" s="336"/>
      <c r="DM235" s="336"/>
      <c r="DN235" s="336"/>
      <c r="DO235" s="336"/>
      <c r="DP235" s="336"/>
      <c r="DQ235" s="336"/>
      <c r="DR235" s="336"/>
      <c r="DS235" s="336"/>
      <c r="DT235" s="336"/>
      <c r="DU235" s="336"/>
      <c r="DV235" s="336"/>
      <c r="DW235" s="336"/>
      <c r="DX235" s="336"/>
      <c r="DY235" s="336"/>
      <c r="DZ235" s="336"/>
      <c r="EA235" s="336"/>
      <c r="EB235" s="336"/>
      <c r="EC235" s="336"/>
      <c r="ED235" s="336"/>
      <c r="EE235" s="336"/>
      <c r="EF235" s="336"/>
      <c r="EG235" s="336"/>
      <c r="EH235" s="336"/>
      <c r="EI235" s="336"/>
      <c r="EJ235" s="336"/>
      <c r="EK235" s="336"/>
      <c r="EL235" s="336"/>
      <c r="EM235" s="336"/>
      <c r="EN235" s="336"/>
      <c r="EO235" s="336"/>
      <c r="EP235" s="336"/>
      <c r="EQ235" s="336"/>
      <c r="ER235" s="336"/>
      <c r="ES235" s="336"/>
      <c r="ET235" s="336"/>
      <c r="EU235" s="336"/>
      <c r="EV235" s="336"/>
      <c r="EW235" s="336"/>
      <c r="EX235" s="336"/>
      <c r="EY235" s="336"/>
      <c r="EZ235" s="336"/>
      <c r="FA235" s="336"/>
      <c r="FB235" s="336"/>
      <c r="FC235" s="336"/>
      <c r="FD235" s="336"/>
      <c r="FE235" s="336"/>
      <c r="FF235" s="336"/>
      <c r="FG235" s="336"/>
      <c r="FH235" s="336"/>
      <c r="FI235" s="336"/>
      <c r="FJ235" s="336"/>
      <c r="FK235" s="336"/>
      <c r="FL235" s="336"/>
      <c r="FM235" s="336"/>
      <c r="FN235" s="336"/>
      <c r="FO235" s="336"/>
      <c r="FP235" s="336"/>
      <c r="FQ235" s="336"/>
      <c r="FR235" s="336"/>
      <c r="FS235" s="336"/>
      <c r="FT235" s="336"/>
      <c r="FU235" s="336"/>
      <c r="FV235" s="336"/>
      <c r="FW235" s="336"/>
      <c r="FX235" s="336"/>
      <c r="FY235" s="336"/>
      <c r="FZ235" s="336"/>
      <c r="GA235" s="336"/>
      <c r="GB235" s="336"/>
      <c r="GC235" s="336"/>
      <c r="GD235" s="336"/>
      <c r="GE235" s="336"/>
      <c r="GF235" s="336"/>
      <c r="GG235" s="336"/>
      <c r="GH235" s="336"/>
      <c r="GI235" s="336"/>
      <c r="GJ235" s="336"/>
      <c r="GK235" s="336"/>
      <c r="GL235" s="336"/>
      <c r="GM235" s="336"/>
      <c r="GN235" s="336"/>
      <c r="GO235" s="336"/>
      <c r="GP235" s="336"/>
      <c r="GQ235" s="336"/>
      <c r="GR235" s="336"/>
      <c r="GS235" s="336"/>
      <c r="GT235" s="336"/>
      <c r="GU235" s="336"/>
      <c r="GV235" s="336"/>
      <c r="GW235" s="336"/>
      <c r="GX235" s="336"/>
      <c r="GY235" s="336"/>
      <c r="GZ235" s="336"/>
      <c r="HA235" s="336"/>
      <c r="HB235" s="336"/>
      <c r="HC235" s="336"/>
      <c r="HD235" s="336"/>
      <c r="HE235" s="336"/>
      <c r="HF235" s="336"/>
      <c r="HG235" s="336"/>
      <c r="HH235" s="336"/>
      <c r="HI235" s="336"/>
      <c r="HJ235" s="336"/>
      <c r="HK235" s="336"/>
      <c r="HL235" s="336"/>
      <c r="HM235" s="336"/>
      <c r="HN235" s="336"/>
      <c r="HO235" s="336"/>
      <c r="HP235" s="336"/>
      <c r="HQ235" s="336"/>
      <c r="HR235" s="336"/>
      <c r="HS235" s="336"/>
      <c r="HT235" s="336"/>
      <c r="HU235" s="336"/>
      <c r="HV235" s="336"/>
      <c r="HW235" s="336"/>
      <c r="HX235" s="336"/>
      <c r="HY235" s="336"/>
      <c r="HZ235" s="336"/>
      <c r="IA235" s="336"/>
      <c r="IB235" s="336"/>
      <c r="IC235" s="336"/>
      <c r="ID235" s="336"/>
      <c r="IE235" s="336"/>
      <c r="IF235" s="336"/>
      <c r="IG235" s="336"/>
      <c r="IH235" s="336"/>
      <c r="II235" s="336"/>
      <c r="IJ235" s="336"/>
      <c r="IK235" s="336"/>
      <c r="IL235" s="336"/>
      <c r="IM235" s="336"/>
      <c r="IN235" s="336"/>
      <c r="IO235" s="336"/>
      <c r="IP235" s="336"/>
      <c r="IQ235" s="336"/>
      <c r="IR235" s="336"/>
      <c r="IS235" s="336"/>
      <c r="IT235" s="336"/>
      <c r="IU235" s="336"/>
      <c r="IV235" s="336"/>
    </row>
    <row r="236" spans="1:256" s="337" customFormat="1" ht="15" customHeight="1" thickTop="1" thickBot="1">
      <c r="A236" s="67">
        <f>+D236*0.00444822</f>
        <v>4.4482200000000001E-3</v>
      </c>
      <c r="B236" s="59">
        <f>+D236*0.453592205</f>
        <v>0.45359220500000003</v>
      </c>
      <c r="C236" s="315">
        <f>+D236*0.000453592205</f>
        <v>4.53592205E-4</v>
      </c>
      <c r="D236" s="60">
        <v>1</v>
      </c>
      <c r="E236" s="217"/>
      <c r="F236" s="257"/>
      <c r="G236" s="252"/>
      <c r="H236" s="236"/>
      <c r="I236" s="236"/>
      <c r="J236" s="236"/>
      <c r="K236" s="236"/>
      <c r="L236" s="236"/>
      <c r="M236" s="236"/>
      <c r="N236" s="236"/>
      <c r="O236" s="236"/>
      <c r="P236" s="336"/>
      <c r="Q236" s="336"/>
      <c r="R236" s="336"/>
      <c r="S236" s="336"/>
      <c r="T236" s="336"/>
      <c r="U236" s="336"/>
      <c r="V236" s="336"/>
      <c r="W236" s="336"/>
      <c r="X236" s="336"/>
      <c r="Y236" s="336"/>
      <c r="Z236" s="336"/>
      <c r="AA236" s="336"/>
      <c r="AB236" s="336"/>
      <c r="AC236" s="336"/>
      <c r="AD236" s="336"/>
      <c r="AE236" s="336"/>
      <c r="AF236" s="336"/>
      <c r="AG236" s="336"/>
      <c r="AH236" s="336"/>
      <c r="AI236" s="336"/>
      <c r="AJ236" s="336"/>
      <c r="AK236" s="336"/>
      <c r="AL236" s="336"/>
      <c r="AM236" s="336"/>
      <c r="AN236" s="336"/>
      <c r="AO236" s="336"/>
      <c r="AP236" s="336"/>
      <c r="AQ236" s="336"/>
      <c r="AR236" s="336"/>
      <c r="AS236" s="336"/>
      <c r="AT236" s="336"/>
      <c r="AU236" s="336"/>
      <c r="AV236" s="336"/>
      <c r="AW236" s="336"/>
      <c r="AX236" s="336"/>
      <c r="AY236" s="336"/>
      <c r="AZ236" s="336"/>
      <c r="BA236" s="336"/>
      <c r="BB236" s="336"/>
      <c r="BC236" s="336"/>
      <c r="BD236" s="336"/>
      <c r="BE236" s="336"/>
      <c r="BF236" s="336"/>
      <c r="BG236" s="336"/>
      <c r="BH236" s="336"/>
      <c r="BI236" s="336"/>
      <c r="BJ236" s="336"/>
      <c r="BK236" s="336"/>
      <c r="BL236" s="336"/>
      <c r="BM236" s="336"/>
      <c r="BN236" s="336"/>
      <c r="BO236" s="336"/>
      <c r="BP236" s="336"/>
      <c r="BQ236" s="336"/>
      <c r="BR236" s="336"/>
      <c r="BS236" s="336"/>
      <c r="BT236" s="336"/>
      <c r="BU236" s="336"/>
      <c r="BV236" s="336"/>
      <c r="BW236" s="336"/>
      <c r="BX236" s="336"/>
      <c r="BY236" s="336"/>
      <c r="BZ236" s="336"/>
      <c r="CA236" s="336"/>
      <c r="CB236" s="336"/>
      <c r="CC236" s="336"/>
      <c r="CD236" s="336"/>
      <c r="CE236" s="336"/>
      <c r="CF236" s="336"/>
      <c r="CG236" s="336"/>
      <c r="CH236" s="336"/>
      <c r="CI236" s="336"/>
      <c r="CJ236" s="336"/>
      <c r="CK236" s="336"/>
      <c r="CL236" s="336"/>
      <c r="CM236" s="336"/>
      <c r="CN236" s="336"/>
      <c r="CO236" s="336"/>
      <c r="CP236" s="336"/>
      <c r="CQ236" s="336"/>
      <c r="CR236" s="336"/>
      <c r="CS236" s="336"/>
      <c r="CT236" s="336"/>
      <c r="CU236" s="336"/>
      <c r="CV236" s="336"/>
      <c r="CW236" s="336"/>
      <c r="CX236" s="336"/>
      <c r="CY236" s="336"/>
      <c r="CZ236" s="336"/>
      <c r="DA236" s="336"/>
      <c r="DB236" s="336"/>
      <c r="DC236" s="336"/>
      <c r="DD236" s="336"/>
      <c r="DE236" s="336"/>
      <c r="DF236" s="336"/>
      <c r="DG236" s="336"/>
      <c r="DH236" s="336"/>
      <c r="DI236" s="336"/>
      <c r="DJ236" s="336"/>
      <c r="DK236" s="336"/>
      <c r="DL236" s="336"/>
      <c r="DM236" s="336"/>
      <c r="DN236" s="336"/>
      <c r="DO236" s="336"/>
      <c r="DP236" s="336"/>
      <c r="DQ236" s="336"/>
      <c r="DR236" s="336"/>
      <c r="DS236" s="336"/>
      <c r="DT236" s="336"/>
      <c r="DU236" s="336"/>
      <c r="DV236" s="336"/>
      <c r="DW236" s="336"/>
      <c r="DX236" s="336"/>
      <c r="DY236" s="336"/>
      <c r="DZ236" s="336"/>
      <c r="EA236" s="336"/>
      <c r="EB236" s="336"/>
      <c r="EC236" s="336"/>
      <c r="ED236" s="336"/>
      <c r="EE236" s="336"/>
      <c r="EF236" s="336"/>
      <c r="EG236" s="336"/>
      <c r="EH236" s="336"/>
      <c r="EI236" s="336"/>
      <c r="EJ236" s="336"/>
      <c r="EK236" s="336"/>
      <c r="EL236" s="336"/>
      <c r="EM236" s="336"/>
      <c r="EN236" s="336"/>
      <c r="EO236" s="336"/>
      <c r="EP236" s="336"/>
      <c r="EQ236" s="336"/>
      <c r="ER236" s="336"/>
      <c r="ES236" s="336"/>
      <c r="ET236" s="336"/>
      <c r="EU236" s="336"/>
      <c r="EV236" s="336"/>
      <c r="EW236" s="336"/>
      <c r="EX236" s="336"/>
      <c r="EY236" s="336"/>
      <c r="EZ236" s="336"/>
      <c r="FA236" s="336"/>
      <c r="FB236" s="336"/>
      <c r="FC236" s="336"/>
      <c r="FD236" s="336"/>
      <c r="FE236" s="336"/>
      <c r="FF236" s="336"/>
      <c r="FG236" s="336"/>
      <c r="FH236" s="336"/>
      <c r="FI236" s="336"/>
      <c r="FJ236" s="336"/>
      <c r="FK236" s="336"/>
      <c r="FL236" s="336"/>
      <c r="FM236" s="336"/>
      <c r="FN236" s="336"/>
      <c r="FO236" s="336"/>
      <c r="FP236" s="336"/>
      <c r="FQ236" s="336"/>
      <c r="FR236" s="336"/>
      <c r="FS236" s="336"/>
      <c r="FT236" s="336"/>
      <c r="FU236" s="336"/>
      <c r="FV236" s="336"/>
      <c r="FW236" s="336"/>
      <c r="FX236" s="336"/>
      <c r="FY236" s="336"/>
      <c r="FZ236" s="336"/>
      <c r="GA236" s="336"/>
      <c r="GB236" s="336"/>
      <c r="GC236" s="336"/>
      <c r="GD236" s="336"/>
      <c r="GE236" s="336"/>
      <c r="GF236" s="336"/>
      <c r="GG236" s="336"/>
      <c r="GH236" s="336"/>
      <c r="GI236" s="336"/>
      <c r="GJ236" s="336"/>
      <c r="GK236" s="336"/>
      <c r="GL236" s="336"/>
      <c r="GM236" s="336"/>
      <c r="GN236" s="336"/>
      <c r="GO236" s="336"/>
      <c r="GP236" s="336"/>
      <c r="GQ236" s="336"/>
      <c r="GR236" s="336"/>
      <c r="GS236" s="336"/>
      <c r="GT236" s="336"/>
      <c r="GU236" s="336"/>
      <c r="GV236" s="336"/>
      <c r="GW236" s="336"/>
      <c r="GX236" s="336"/>
      <c r="GY236" s="336"/>
      <c r="GZ236" s="336"/>
      <c r="HA236" s="336"/>
      <c r="HB236" s="336"/>
      <c r="HC236" s="336"/>
      <c r="HD236" s="336"/>
      <c r="HE236" s="336"/>
      <c r="HF236" s="336"/>
      <c r="HG236" s="336"/>
      <c r="HH236" s="336"/>
      <c r="HI236" s="336"/>
      <c r="HJ236" s="336"/>
      <c r="HK236" s="336"/>
      <c r="HL236" s="336"/>
      <c r="HM236" s="336"/>
      <c r="HN236" s="336"/>
      <c r="HO236" s="336"/>
      <c r="HP236" s="336"/>
      <c r="HQ236" s="336"/>
      <c r="HR236" s="336"/>
      <c r="HS236" s="336"/>
      <c r="HT236" s="336"/>
      <c r="HU236" s="336"/>
      <c r="HV236" s="336"/>
      <c r="HW236" s="336"/>
      <c r="HX236" s="336"/>
      <c r="HY236" s="336"/>
      <c r="HZ236" s="336"/>
      <c r="IA236" s="336"/>
      <c r="IB236" s="336"/>
      <c r="IC236" s="336"/>
      <c r="ID236" s="336"/>
      <c r="IE236" s="336"/>
      <c r="IF236" s="336"/>
      <c r="IG236" s="336"/>
      <c r="IH236" s="336"/>
      <c r="II236" s="336"/>
      <c r="IJ236" s="336"/>
      <c r="IK236" s="336"/>
      <c r="IL236" s="336"/>
      <c r="IM236" s="336"/>
      <c r="IN236" s="336"/>
      <c r="IO236" s="336"/>
      <c r="IP236" s="336"/>
      <c r="IQ236" s="336"/>
      <c r="IR236" s="336"/>
      <c r="IS236" s="336"/>
      <c r="IT236" s="336"/>
      <c r="IU236" s="336"/>
      <c r="IV236" s="336"/>
    </row>
    <row r="237" spans="1:256" s="337" customFormat="1" ht="15" customHeight="1" thickTop="1" thickBot="1">
      <c r="A237" s="274"/>
      <c r="B237" s="274"/>
      <c r="C237" s="228"/>
      <c r="D237" s="228"/>
      <c r="E237" s="257"/>
      <c r="F237" s="257"/>
      <c r="G237" s="252"/>
      <c r="H237" s="236"/>
      <c r="I237" s="236"/>
      <c r="J237" s="236"/>
      <c r="K237" s="236"/>
      <c r="L237" s="236"/>
      <c r="M237" s="236"/>
      <c r="N237" s="236"/>
      <c r="O237" s="236"/>
      <c r="P237" s="336"/>
      <c r="Q237" s="336"/>
      <c r="R237" s="336"/>
      <c r="S237" s="336"/>
      <c r="T237" s="336"/>
      <c r="U237" s="336"/>
      <c r="V237" s="336"/>
      <c r="W237" s="336"/>
      <c r="X237" s="336"/>
      <c r="Y237" s="336"/>
      <c r="Z237" s="336"/>
      <c r="AA237" s="336"/>
      <c r="AB237" s="336"/>
      <c r="AC237" s="336"/>
      <c r="AD237" s="336"/>
      <c r="AE237" s="336"/>
      <c r="AF237" s="336"/>
      <c r="AG237" s="336"/>
      <c r="AH237" s="336"/>
      <c r="AI237" s="336"/>
      <c r="AJ237" s="336"/>
      <c r="AK237" s="336"/>
      <c r="AL237" s="336"/>
      <c r="AM237" s="336"/>
      <c r="AN237" s="336"/>
      <c r="AO237" s="336"/>
      <c r="AP237" s="336"/>
      <c r="AQ237" s="336"/>
      <c r="AR237" s="336"/>
      <c r="AS237" s="336"/>
      <c r="AT237" s="336"/>
      <c r="AU237" s="336"/>
      <c r="AV237" s="336"/>
      <c r="AW237" s="336"/>
      <c r="AX237" s="336"/>
      <c r="AY237" s="336"/>
      <c r="AZ237" s="336"/>
      <c r="BA237" s="336"/>
      <c r="BB237" s="336"/>
      <c r="BC237" s="336"/>
      <c r="BD237" s="336"/>
      <c r="BE237" s="336"/>
      <c r="BF237" s="336"/>
      <c r="BG237" s="336"/>
      <c r="BH237" s="336"/>
      <c r="BI237" s="336"/>
      <c r="BJ237" s="336"/>
      <c r="BK237" s="336"/>
      <c r="BL237" s="336"/>
      <c r="BM237" s="336"/>
      <c r="BN237" s="336"/>
      <c r="BO237" s="336"/>
      <c r="BP237" s="336"/>
      <c r="BQ237" s="336"/>
      <c r="BR237" s="336"/>
      <c r="BS237" s="336"/>
      <c r="BT237" s="336"/>
      <c r="BU237" s="336"/>
      <c r="BV237" s="336"/>
      <c r="BW237" s="336"/>
      <c r="BX237" s="336"/>
      <c r="BY237" s="336"/>
      <c r="BZ237" s="336"/>
      <c r="CA237" s="336"/>
      <c r="CB237" s="336"/>
      <c r="CC237" s="336"/>
      <c r="CD237" s="336"/>
      <c r="CE237" s="336"/>
      <c r="CF237" s="336"/>
      <c r="CG237" s="336"/>
      <c r="CH237" s="336"/>
      <c r="CI237" s="336"/>
      <c r="CJ237" s="336"/>
      <c r="CK237" s="336"/>
      <c r="CL237" s="336"/>
      <c r="CM237" s="336"/>
      <c r="CN237" s="336"/>
      <c r="CO237" s="336"/>
      <c r="CP237" s="336"/>
      <c r="CQ237" s="336"/>
      <c r="CR237" s="336"/>
      <c r="CS237" s="336"/>
      <c r="CT237" s="336"/>
      <c r="CU237" s="336"/>
      <c r="CV237" s="336"/>
      <c r="CW237" s="336"/>
      <c r="CX237" s="336"/>
      <c r="CY237" s="336"/>
      <c r="CZ237" s="336"/>
      <c r="DA237" s="336"/>
      <c r="DB237" s="336"/>
      <c r="DC237" s="336"/>
      <c r="DD237" s="336"/>
      <c r="DE237" s="336"/>
      <c r="DF237" s="336"/>
      <c r="DG237" s="336"/>
      <c r="DH237" s="336"/>
      <c r="DI237" s="336"/>
      <c r="DJ237" s="336"/>
      <c r="DK237" s="336"/>
      <c r="DL237" s="336"/>
      <c r="DM237" s="336"/>
      <c r="DN237" s="336"/>
      <c r="DO237" s="336"/>
      <c r="DP237" s="336"/>
      <c r="DQ237" s="336"/>
      <c r="DR237" s="336"/>
      <c r="DS237" s="336"/>
      <c r="DT237" s="336"/>
      <c r="DU237" s="336"/>
      <c r="DV237" s="336"/>
      <c r="DW237" s="336"/>
      <c r="DX237" s="336"/>
      <c r="DY237" s="336"/>
      <c r="DZ237" s="336"/>
      <c r="EA237" s="336"/>
      <c r="EB237" s="336"/>
      <c r="EC237" s="336"/>
      <c r="ED237" s="336"/>
      <c r="EE237" s="336"/>
      <c r="EF237" s="336"/>
      <c r="EG237" s="336"/>
      <c r="EH237" s="336"/>
      <c r="EI237" s="336"/>
      <c r="EJ237" s="336"/>
      <c r="EK237" s="336"/>
      <c r="EL237" s="336"/>
      <c r="EM237" s="336"/>
      <c r="EN237" s="336"/>
      <c r="EO237" s="336"/>
      <c r="EP237" s="336"/>
      <c r="EQ237" s="336"/>
      <c r="ER237" s="336"/>
      <c r="ES237" s="336"/>
      <c r="ET237" s="336"/>
      <c r="EU237" s="336"/>
      <c r="EV237" s="336"/>
      <c r="EW237" s="336"/>
      <c r="EX237" s="336"/>
      <c r="EY237" s="336"/>
      <c r="EZ237" s="336"/>
      <c r="FA237" s="336"/>
      <c r="FB237" s="336"/>
      <c r="FC237" s="336"/>
      <c r="FD237" s="336"/>
      <c r="FE237" s="336"/>
      <c r="FF237" s="336"/>
      <c r="FG237" s="336"/>
      <c r="FH237" s="336"/>
      <c r="FI237" s="336"/>
      <c r="FJ237" s="336"/>
      <c r="FK237" s="336"/>
      <c r="FL237" s="336"/>
      <c r="FM237" s="336"/>
      <c r="FN237" s="336"/>
      <c r="FO237" s="336"/>
      <c r="FP237" s="336"/>
      <c r="FQ237" s="336"/>
      <c r="FR237" s="336"/>
      <c r="FS237" s="336"/>
      <c r="FT237" s="336"/>
      <c r="FU237" s="336"/>
      <c r="FV237" s="336"/>
      <c r="FW237" s="336"/>
      <c r="FX237" s="336"/>
      <c r="FY237" s="336"/>
      <c r="FZ237" s="336"/>
      <c r="GA237" s="336"/>
      <c r="GB237" s="336"/>
      <c r="GC237" s="336"/>
      <c r="GD237" s="336"/>
      <c r="GE237" s="336"/>
      <c r="GF237" s="336"/>
      <c r="GG237" s="336"/>
      <c r="GH237" s="336"/>
      <c r="GI237" s="336"/>
      <c r="GJ237" s="336"/>
      <c r="GK237" s="336"/>
      <c r="GL237" s="336"/>
      <c r="GM237" s="336"/>
      <c r="GN237" s="336"/>
      <c r="GO237" s="336"/>
      <c r="GP237" s="336"/>
      <c r="GQ237" s="336"/>
      <c r="GR237" s="336"/>
      <c r="GS237" s="336"/>
      <c r="GT237" s="336"/>
      <c r="GU237" s="336"/>
      <c r="GV237" s="336"/>
      <c r="GW237" s="336"/>
      <c r="GX237" s="336"/>
      <c r="GY237" s="336"/>
      <c r="GZ237" s="336"/>
      <c r="HA237" s="336"/>
      <c r="HB237" s="336"/>
      <c r="HC237" s="336"/>
      <c r="HD237" s="336"/>
      <c r="HE237" s="336"/>
      <c r="HF237" s="336"/>
      <c r="HG237" s="336"/>
      <c r="HH237" s="336"/>
      <c r="HI237" s="336"/>
      <c r="HJ237" s="336"/>
      <c r="HK237" s="336"/>
      <c r="HL237" s="336"/>
      <c r="HM237" s="336"/>
      <c r="HN237" s="336"/>
      <c r="HO237" s="336"/>
      <c r="HP237" s="336"/>
      <c r="HQ237" s="336"/>
      <c r="HR237" s="336"/>
      <c r="HS237" s="336"/>
      <c r="HT237" s="336"/>
      <c r="HU237" s="336"/>
      <c r="HV237" s="336"/>
      <c r="HW237" s="336"/>
      <c r="HX237" s="336"/>
      <c r="HY237" s="336"/>
      <c r="HZ237" s="336"/>
      <c r="IA237" s="336"/>
      <c r="IB237" s="336"/>
      <c r="IC237" s="336"/>
      <c r="ID237" s="336"/>
      <c r="IE237" s="336"/>
      <c r="IF237" s="336"/>
      <c r="IG237" s="336"/>
      <c r="IH237" s="336"/>
      <c r="II237" s="336"/>
      <c r="IJ237" s="336"/>
      <c r="IK237" s="336"/>
      <c r="IL237" s="336"/>
      <c r="IM237" s="336"/>
      <c r="IN237" s="336"/>
      <c r="IO237" s="336"/>
      <c r="IP237" s="336"/>
      <c r="IQ237" s="336"/>
      <c r="IR237" s="336"/>
      <c r="IS237" s="336"/>
      <c r="IT237" s="336"/>
      <c r="IU237" s="336"/>
      <c r="IV237" s="336"/>
    </row>
    <row r="238" spans="1:256" s="337" customFormat="1" ht="15" customHeight="1" thickTop="1">
      <c r="A238" s="135" t="s">
        <v>264</v>
      </c>
      <c r="B238" s="140"/>
      <c r="C238" s="110"/>
      <c r="D238" s="111"/>
      <c r="E238" s="141"/>
      <c r="F238" s="217"/>
      <c r="G238" s="252"/>
      <c r="H238" s="236"/>
      <c r="I238" s="236"/>
      <c r="J238" s="236"/>
      <c r="K238" s="236"/>
      <c r="L238" s="236"/>
      <c r="M238" s="236"/>
      <c r="N238" s="236"/>
      <c r="O238" s="236"/>
      <c r="P238" s="336"/>
      <c r="Q238" s="336"/>
      <c r="R238" s="336"/>
      <c r="S238" s="336"/>
      <c r="T238" s="336"/>
      <c r="U238" s="336"/>
      <c r="V238" s="336"/>
      <c r="W238" s="336"/>
      <c r="X238" s="336"/>
      <c r="Y238" s="336"/>
      <c r="Z238" s="336"/>
      <c r="AA238" s="336"/>
      <c r="AB238" s="336"/>
      <c r="AC238" s="336"/>
      <c r="AD238" s="336"/>
      <c r="AE238" s="336"/>
      <c r="AF238" s="336"/>
      <c r="AG238" s="336"/>
      <c r="AH238" s="336"/>
      <c r="AI238" s="336"/>
      <c r="AJ238" s="336"/>
      <c r="AK238" s="336"/>
      <c r="AL238" s="336"/>
      <c r="AM238" s="336"/>
      <c r="AN238" s="336"/>
      <c r="AO238" s="336"/>
      <c r="AP238" s="336"/>
      <c r="AQ238" s="336"/>
      <c r="AR238" s="336"/>
      <c r="AS238" s="336"/>
      <c r="AT238" s="336"/>
      <c r="AU238" s="336"/>
      <c r="AV238" s="336"/>
      <c r="AW238" s="336"/>
      <c r="AX238" s="336"/>
      <c r="AY238" s="336"/>
      <c r="AZ238" s="336"/>
      <c r="BA238" s="336"/>
      <c r="BB238" s="336"/>
      <c r="BC238" s="336"/>
      <c r="BD238" s="336"/>
      <c r="BE238" s="336"/>
      <c r="BF238" s="336"/>
      <c r="BG238" s="336"/>
      <c r="BH238" s="336"/>
      <c r="BI238" s="336"/>
      <c r="BJ238" s="336"/>
      <c r="BK238" s="336"/>
      <c r="BL238" s="336"/>
      <c r="BM238" s="336"/>
      <c r="BN238" s="336"/>
      <c r="BO238" s="336"/>
      <c r="BP238" s="336"/>
      <c r="BQ238" s="336"/>
      <c r="BR238" s="336"/>
      <c r="BS238" s="336"/>
      <c r="BT238" s="336"/>
      <c r="BU238" s="336"/>
      <c r="BV238" s="336"/>
      <c r="BW238" s="336"/>
      <c r="BX238" s="336"/>
      <c r="BY238" s="336"/>
      <c r="BZ238" s="336"/>
      <c r="CA238" s="336"/>
      <c r="CB238" s="336"/>
      <c r="CC238" s="336"/>
      <c r="CD238" s="336"/>
      <c r="CE238" s="336"/>
      <c r="CF238" s="336"/>
      <c r="CG238" s="336"/>
      <c r="CH238" s="336"/>
      <c r="CI238" s="336"/>
      <c r="CJ238" s="336"/>
      <c r="CK238" s="336"/>
      <c r="CL238" s="336"/>
      <c r="CM238" s="336"/>
      <c r="CN238" s="336"/>
      <c r="CO238" s="336"/>
      <c r="CP238" s="336"/>
      <c r="CQ238" s="336"/>
      <c r="CR238" s="336"/>
      <c r="CS238" s="336"/>
      <c r="CT238" s="336"/>
      <c r="CU238" s="336"/>
      <c r="CV238" s="336"/>
      <c r="CW238" s="336"/>
      <c r="CX238" s="336"/>
      <c r="CY238" s="336"/>
      <c r="CZ238" s="336"/>
      <c r="DA238" s="336"/>
      <c r="DB238" s="336"/>
      <c r="DC238" s="336"/>
      <c r="DD238" s="336"/>
      <c r="DE238" s="336"/>
      <c r="DF238" s="336"/>
      <c r="DG238" s="336"/>
      <c r="DH238" s="336"/>
      <c r="DI238" s="336"/>
      <c r="DJ238" s="336"/>
      <c r="DK238" s="336"/>
      <c r="DL238" s="336"/>
      <c r="DM238" s="336"/>
      <c r="DN238" s="336"/>
      <c r="DO238" s="336"/>
      <c r="DP238" s="336"/>
      <c r="DQ238" s="336"/>
      <c r="DR238" s="336"/>
      <c r="DS238" s="336"/>
      <c r="DT238" s="336"/>
      <c r="DU238" s="336"/>
      <c r="DV238" s="336"/>
      <c r="DW238" s="336"/>
      <c r="DX238" s="336"/>
      <c r="DY238" s="336"/>
      <c r="DZ238" s="336"/>
      <c r="EA238" s="336"/>
      <c r="EB238" s="336"/>
      <c r="EC238" s="336"/>
      <c r="ED238" s="336"/>
      <c r="EE238" s="336"/>
      <c r="EF238" s="336"/>
      <c r="EG238" s="336"/>
      <c r="EH238" s="336"/>
      <c r="EI238" s="336"/>
      <c r="EJ238" s="336"/>
      <c r="EK238" s="336"/>
      <c r="EL238" s="336"/>
      <c r="EM238" s="336"/>
      <c r="EN238" s="336"/>
      <c r="EO238" s="336"/>
      <c r="EP238" s="336"/>
      <c r="EQ238" s="336"/>
      <c r="ER238" s="336"/>
      <c r="ES238" s="336"/>
      <c r="ET238" s="336"/>
      <c r="EU238" s="336"/>
      <c r="EV238" s="336"/>
      <c r="EW238" s="336"/>
      <c r="EX238" s="336"/>
      <c r="EY238" s="336"/>
      <c r="EZ238" s="336"/>
      <c r="FA238" s="336"/>
      <c r="FB238" s="336"/>
      <c r="FC238" s="336"/>
      <c r="FD238" s="336"/>
      <c r="FE238" s="336"/>
      <c r="FF238" s="336"/>
      <c r="FG238" s="336"/>
      <c r="FH238" s="336"/>
      <c r="FI238" s="336"/>
      <c r="FJ238" s="336"/>
      <c r="FK238" s="336"/>
      <c r="FL238" s="336"/>
      <c r="FM238" s="336"/>
      <c r="FN238" s="336"/>
      <c r="FO238" s="336"/>
      <c r="FP238" s="336"/>
      <c r="FQ238" s="336"/>
      <c r="FR238" s="336"/>
      <c r="FS238" s="336"/>
      <c r="FT238" s="336"/>
      <c r="FU238" s="336"/>
      <c r="FV238" s="336"/>
      <c r="FW238" s="336"/>
      <c r="FX238" s="336"/>
      <c r="FY238" s="336"/>
      <c r="FZ238" s="336"/>
      <c r="GA238" s="336"/>
      <c r="GB238" s="336"/>
      <c r="GC238" s="336"/>
      <c r="GD238" s="336"/>
      <c r="GE238" s="336"/>
      <c r="GF238" s="336"/>
      <c r="GG238" s="336"/>
      <c r="GH238" s="336"/>
      <c r="GI238" s="336"/>
      <c r="GJ238" s="336"/>
      <c r="GK238" s="336"/>
      <c r="GL238" s="336"/>
      <c r="GM238" s="336"/>
      <c r="GN238" s="336"/>
      <c r="GO238" s="336"/>
      <c r="GP238" s="336"/>
      <c r="GQ238" s="336"/>
      <c r="GR238" s="336"/>
      <c r="GS238" s="336"/>
      <c r="GT238" s="336"/>
      <c r="GU238" s="336"/>
      <c r="GV238" s="336"/>
      <c r="GW238" s="336"/>
      <c r="GX238" s="336"/>
      <c r="GY238" s="336"/>
      <c r="GZ238" s="336"/>
      <c r="HA238" s="336"/>
      <c r="HB238" s="336"/>
      <c r="HC238" s="336"/>
      <c r="HD238" s="336"/>
      <c r="HE238" s="336"/>
      <c r="HF238" s="336"/>
      <c r="HG238" s="336"/>
      <c r="HH238" s="336"/>
      <c r="HI238" s="336"/>
      <c r="HJ238" s="336"/>
      <c r="HK238" s="336"/>
      <c r="HL238" s="336"/>
      <c r="HM238" s="336"/>
      <c r="HN238" s="336"/>
      <c r="HO238" s="336"/>
      <c r="HP238" s="336"/>
      <c r="HQ238" s="336"/>
      <c r="HR238" s="336"/>
      <c r="HS238" s="336"/>
      <c r="HT238" s="336"/>
      <c r="HU238" s="336"/>
      <c r="HV238" s="336"/>
      <c r="HW238" s="336"/>
      <c r="HX238" s="336"/>
      <c r="HY238" s="336"/>
      <c r="HZ238" s="336"/>
      <c r="IA238" s="336"/>
      <c r="IB238" s="336"/>
      <c r="IC238" s="336"/>
      <c r="ID238" s="336"/>
      <c r="IE238" s="336"/>
      <c r="IF238" s="336"/>
      <c r="IG238" s="336"/>
      <c r="IH238" s="336"/>
      <c r="II238" s="336"/>
      <c r="IJ238" s="336"/>
      <c r="IK238" s="336"/>
      <c r="IL238" s="336"/>
      <c r="IM238" s="336"/>
      <c r="IN238" s="336"/>
      <c r="IO238" s="336"/>
      <c r="IP238" s="336"/>
      <c r="IQ238" s="336"/>
      <c r="IR238" s="336"/>
      <c r="IS238" s="336"/>
      <c r="IT238" s="336"/>
      <c r="IU238" s="336"/>
      <c r="IV238" s="336"/>
    </row>
    <row r="239" spans="1:256" s="337" customFormat="1" ht="15" customHeight="1">
      <c r="A239" s="142"/>
      <c r="B239" s="143"/>
      <c r="C239" s="114" t="s">
        <v>91</v>
      </c>
      <c r="D239" s="114" t="s">
        <v>92</v>
      </c>
      <c r="E239" s="117" t="s">
        <v>94</v>
      </c>
      <c r="F239" s="217"/>
      <c r="G239" s="252"/>
      <c r="H239" s="236"/>
      <c r="I239" s="236"/>
      <c r="J239" s="236"/>
      <c r="K239" s="236"/>
      <c r="L239" s="236"/>
      <c r="M239" s="236"/>
      <c r="N239" s="236"/>
      <c r="O239" s="236"/>
      <c r="P239" s="336"/>
      <c r="Q239" s="336"/>
      <c r="R239" s="336"/>
      <c r="S239" s="336"/>
      <c r="T239" s="336"/>
      <c r="U239" s="336"/>
      <c r="V239" s="336"/>
      <c r="W239" s="336"/>
      <c r="X239" s="336"/>
      <c r="Y239" s="336"/>
      <c r="Z239" s="336"/>
      <c r="AA239" s="336"/>
      <c r="AB239" s="336"/>
      <c r="AC239" s="336"/>
      <c r="AD239" s="336"/>
      <c r="AE239" s="336"/>
      <c r="AF239" s="336"/>
      <c r="AG239" s="336"/>
      <c r="AH239" s="336"/>
      <c r="AI239" s="336"/>
      <c r="AJ239" s="336"/>
      <c r="AK239" s="336"/>
      <c r="AL239" s="336"/>
      <c r="AM239" s="336"/>
      <c r="AN239" s="336"/>
      <c r="AO239" s="336"/>
      <c r="AP239" s="336"/>
      <c r="AQ239" s="336"/>
      <c r="AR239" s="336"/>
      <c r="AS239" s="336"/>
      <c r="AT239" s="336"/>
      <c r="AU239" s="336"/>
      <c r="AV239" s="336"/>
      <c r="AW239" s="336"/>
      <c r="AX239" s="336"/>
      <c r="AY239" s="336"/>
      <c r="AZ239" s="336"/>
      <c r="BA239" s="336"/>
      <c r="BB239" s="336"/>
      <c r="BC239" s="336"/>
      <c r="BD239" s="336"/>
      <c r="BE239" s="336"/>
      <c r="BF239" s="336"/>
      <c r="BG239" s="336"/>
      <c r="BH239" s="336"/>
      <c r="BI239" s="336"/>
      <c r="BJ239" s="336"/>
      <c r="BK239" s="336"/>
      <c r="BL239" s="336"/>
      <c r="BM239" s="336"/>
      <c r="BN239" s="336"/>
      <c r="BO239" s="336"/>
      <c r="BP239" s="336"/>
      <c r="BQ239" s="336"/>
      <c r="BR239" s="336"/>
      <c r="BS239" s="336"/>
      <c r="BT239" s="336"/>
      <c r="BU239" s="336"/>
      <c r="BV239" s="336"/>
      <c r="BW239" s="336"/>
      <c r="BX239" s="336"/>
      <c r="BY239" s="336"/>
      <c r="BZ239" s="336"/>
      <c r="CA239" s="336"/>
      <c r="CB239" s="336"/>
      <c r="CC239" s="336"/>
      <c r="CD239" s="336"/>
      <c r="CE239" s="336"/>
      <c r="CF239" s="336"/>
      <c r="CG239" s="336"/>
      <c r="CH239" s="336"/>
      <c r="CI239" s="336"/>
      <c r="CJ239" s="336"/>
      <c r="CK239" s="336"/>
      <c r="CL239" s="336"/>
      <c r="CM239" s="336"/>
      <c r="CN239" s="336"/>
      <c r="CO239" s="336"/>
      <c r="CP239" s="336"/>
      <c r="CQ239" s="336"/>
      <c r="CR239" s="336"/>
      <c r="CS239" s="336"/>
      <c r="CT239" s="336"/>
      <c r="CU239" s="336"/>
      <c r="CV239" s="336"/>
      <c r="CW239" s="336"/>
      <c r="CX239" s="336"/>
      <c r="CY239" s="336"/>
      <c r="CZ239" s="336"/>
      <c r="DA239" s="336"/>
      <c r="DB239" s="336"/>
      <c r="DC239" s="336"/>
      <c r="DD239" s="336"/>
      <c r="DE239" s="336"/>
      <c r="DF239" s="336"/>
      <c r="DG239" s="336"/>
      <c r="DH239" s="336"/>
      <c r="DI239" s="336"/>
      <c r="DJ239" s="336"/>
      <c r="DK239" s="336"/>
      <c r="DL239" s="336"/>
      <c r="DM239" s="336"/>
      <c r="DN239" s="336"/>
      <c r="DO239" s="336"/>
      <c r="DP239" s="336"/>
      <c r="DQ239" s="336"/>
      <c r="DR239" s="336"/>
      <c r="DS239" s="336"/>
      <c r="DT239" s="336"/>
      <c r="DU239" s="336"/>
      <c r="DV239" s="336"/>
      <c r="DW239" s="336"/>
      <c r="DX239" s="336"/>
      <c r="DY239" s="336"/>
      <c r="DZ239" s="336"/>
      <c r="EA239" s="336"/>
      <c r="EB239" s="336"/>
      <c r="EC239" s="336"/>
      <c r="ED239" s="336"/>
      <c r="EE239" s="336"/>
      <c r="EF239" s="336"/>
      <c r="EG239" s="336"/>
      <c r="EH239" s="336"/>
      <c r="EI239" s="336"/>
      <c r="EJ239" s="336"/>
      <c r="EK239" s="336"/>
      <c r="EL239" s="336"/>
      <c r="EM239" s="336"/>
      <c r="EN239" s="336"/>
      <c r="EO239" s="336"/>
      <c r="EP239" s="336"/>
      <c r="EQ239" s="336"/>
      <c r="ER239" s="336"/>
      <c r="ES239" s="336"/>
      <c r="ET239" s="336"/>
      <c r="EU239" s="336"/>
      <c r="EV239" s="336"/>
      <c r="EW239" s="336"/>
      <c r="EX239" s="336"/>
      <c r="EY239" s="336"/>
      <c r="EZ239" s="336"/>
      <c r="FA239" s="336"/>
      <c r="FB239" s="336"/>
      <c r="FC239" s="336"/>
      <c r="FD239" s="336"/>
      <c r="FE239" s="336"/>
      <c r="FF239" s="336"/>
      <c r="FG239" s="336"/>
      <c r="FH239" s="336"/>
      <c r="FI239" s="336"/>
      <c r="FJ239" s="336"/>
      <c r="FK239" s="336"/>
      <c r="FL239" s="336"/>
      <c r="FM239" s="336"/>
      <c r="FN239" s="336"/>
      <c r="FO239" s="336"/>
      <c r="FP239" s="336"/>
      <c r="FQ239" s="336"/>
      <c r="FR239" s="336"/>
      <c r="FS239" s="336"/>
      <c r="FT239" s="336"/>
      <c r="FU239" s="336"/>
      <c r="FV239" s="336"/>
      <c r="FW239" s="336"/>
      <c r="FX239" s="336"/>
      <c r="FY239" s="336"/>
      <c r="FZ239" s="336"/>
      <c r="GA239" s="336"/>
      <c r="GB239" s="336"/>
      <c r="GC239" s="336"/>
      <c r="GD239" s="336"/>
      <c r="GE239" s="336"/>
      <c r="GF239" s="336"/>
      <c r="GG239" s="336"/>
      <c r="GH239" s="336"/>
      <c r="GI239" s="336"/>
      <c r="GJ239" s="336"/>
      <c r="GK239" s="336"/>
      <c r="GL239" s="336"/>
      <c r="GM239" s="336"/>
      <c r="GN239" s="336"/>
      <c r="GO239" s="336"/>
      <c r="GP239" s="336"/>
      <c r="GQ239" s="336"/>
      <c r="GR239" s="336"/>
      <c r="GS239" s="336"/>
      <c r="GT239" s="336"/>
      <c r="GU239" s="336"/>
      <c r="GV239" s="336"/>
      <c r="GW239" s="336"/>
      <c r="GX239" s="336"/>
      <c r="GY239" s="336"/>
      <c r="GZ239" s="336"/>
      <c r="HA239" s="336"/>
      <c r="HB239" s="336"/>
      <c r="HC239" s="336"/>
      <c r="HD239" s="336"/>
      <c r="HE239" s="336"/>
      <c r="HF239" s="336"/>
      <c r="HG239" s="336"/>
      <c r="HH239" s="336"/>
      <c r="HI239" s="336"/>
      <c r="HJ239" s="336"/>
      <c r="HK239" s="336"/>
      <c r="HL239" s="336"/>
      <c r="HM239" s="336"/>
      <c r="HN239" s="336"/>
      <c r="HO239" s="336"/>
      <c r="HP239" s="336"/>
      <c r="HQ239" s="336"/>
      <c r="HR239" s="336"/>
      <c r="HS239" s="336"/>
      <c r="HT239" s="336"/>
      <c r="HU239" s="336"/>
      <c r="HV239" s="336"/>
      <c r="HW239" s="336"/>
      <c r="HX239" s="336"/>
      <c r="HY239" s="336"/>
      <c r="HZ239" s="336"/>
      <c r="IA239" s="336"/>
      <c r="IB239" s="336"/>
      <c r="IC239" s="336"/>
      <c r="ID239" s="336"/>
      <c r="IE239" s="336"/>
      <c r="IF239" s="336"/>
      <c r="IG239" s="336"/>
      <c r="IH239" s="336"/>
      <c r="II239" s="336"/>
      <c r="IJ239" s="336"/>
      <c r="IK239" s="336"/>
      <c r="IL239" s="336"/>
      <c r="IM239" s="336"/>
      <c r="IN239" s="336"/>
      <c r="IO239" s="336"/>
      <c r="IP239" s="336"/>
      <c r="IQ239" s="336"/>
      <c r="IR239" s="336"/>
      <c r="IS239" s="336"/>
      <c r="IT239" s="336"/>
      <c r="IU239" s="336"/>
      <c r="IV239" s="336"/>
    </row>
    <row r="240" spans="1:256" s="337" customFormat="1" ht="15" customHeight="1">
      <c r="A240" s="144"/>
      <c r="B240" s="145"/>
      <c r="C240" s="118" t="s">
        <v>90</v>
      </c>
      <c r="D240" s="118" t="s">
        <v>93</v>
      </c>
      <c r="E240" s="120" t="s">
        <v>262</v>
      </c>
      <c r="F240" s="217"/>
      <c r="G240" s="252"/>
      <c r="H240" s="236"/>
      <c r="I240" s="236"/>
      <c r="J240" s="236"/>
      <c r="K240" s="236"/>
      <c r="L240" s="236"/>
      <c r="M240" s="236"/>
      <c r="N240" s="236"/>
      <c r="O240" s="236"/>
      <c r="P240" s="336"/>
      <c r="Q240" s="336"/>
      <c r="R240" s="336"/>
      <c r="S240" s="336"/>
      <c r="T240" s="336"/>
      <c r="U240" s="336"/>
      <c r="V240" s="336"/>
      <c r="W240" s="336"/>
      <c r="X240" s="336"/>
      <c r="Y240" s="336"/>
      <c r="Z240" s="336"/>
      <c r="AA240" s="336"/>
      <c r="AB240" s="336"/>
      <c r="AC240" s="336"/>
      <c r="AD240" s="336"/>
      <c r="AE240" s="336"/>
      <c r="AF240" s="336"/>
      <c r="AG240" s="336"/>
      <c r="AH240" s="336"/>
      <c r="AI240" s="336"/>
      <c r="AJ240" s="336"/>
      <c r="AK240" s="336"/>
      <c r="AL240" s="336"/>
      <c r="AM240" s="336"/>
      <c r="AN240" s="336"/>
      <c r="AO240" s="336"/>
      <c r="AP240" s="336"/>
      <c r="AQ240" s="336"/>
      <c r="AR240" s="336"/>
      <c r="AS240" s="336"/>
      <c r="AT240" s="336"/>
      <c r="AU240" s="336"/>
      <c r="AV240" s="336"/>
      <c r="AW240" s="336"/>
      <c r="AX240" s="336"/>
      <c r="AY240" s="336"/>
      <c r="AZ240" s="336"/>
      <c r="BA240" s="336"/>
      <c r="BB240" s="336"/>
      <c r="BC240" s="336"/>
      <c r="BD240" s="336"/>
      <c r="BE240" s="336"/>
      <c r="BF240" s="336"/>
      <c r="BG240" s="336"/>
      <c r="BH240" s="336"/>
      <c r="BI240" s="336"/>
      <c r="BJ240" s="336"/>
      <c r="BK240" s="336"/>
      <c r="BL240" s="336"/>
      <c r="BM240" s="336"/>
      <c r="BN240" s="336"/>
      <c r="BO240" s="336"/>
      <c r="BP240" s="336"/>
      <c r="BQ240" s="336"/>
      <c r="BR240" s="336"/>
      <c r="BS240" s="336"/>
      <c r="BT240" s="336"/>
      <c r="BU240" s="336"/>
      <c r="BV240" s="336"/>
      <c r="BW240" s="336"/>
      <c r="BX240" s="336"/>
      <c r="BY240" s="336"/>
      <c r="BZ240" s="336"/>
      <c r="CA240" s="336"/>
      <c r="CB240" s="336"/>
      <c r="CC240" s="336"/>
      <c r="CD240" s="336"/>
      <c r="CE240" s="336"/>
      <c r="CF240" s="336"/>
      <c r="CG240" s="336"/>
      <c r="CH240" s="336"/>
      <c r="CI240" s="336"/>
      <c r="CJ240" s="336"/>
      <c r="CK240" s="336"/>
      <c r="CL240" s="336"/>
      <c r="CM240" s="336"/>
      <c r="CN240" s="336"/>
      <c r="CO240" s="336"/>
      <c r="CP240" s="336"/>
      <c r="CQ240" s="336"/>
      <c r="CR240" s="336"/>
      <c r="CS240" s="336"/>
      <c r="CT240" s="336"/>
      <c r="CU240" s="336"/>
      <c r="CV240" s="336"/>
      <c r="CW240" s="336"/>
      <c r="CX240" s="336"/>
      <c r="CY240" s="336"/>
      <c r="CZ240" s="336"/>
      <c r="DA240" s="336"/>
      <c r="DB240" s="336"/>
      <c r="DC240" s="336"/>
      <c r="DD240" s="336"/>
      <c r="DE240" s="336"/>
      <c r="DF240" s="336"/>
      <c r="DG240" s="336"/>
      <c r="DH240" s="336"/>
      <c r="DI240" s="336"/>
      <c r="DJ240" s="336"/>
      <c r="DK240" s="336"/>
      <c r="DL240" s="336"/>
      <c r="DM240" s="336"/>
      <c r="DN240" s="336"/>
      <c r="DO240" s="336"/>
      <c r="DP240" s="336"/>
      <c r="DQ240" s="336"/>
      <c r="DR240" s="336"/>
      <c r="DS240" s="336"/>
      <c r="DT240" s="336"/>
      <c r="DU240" s="336"/>
      <c r="DV240" s="336"/>
      <c r="DW240" s="336"/>
      <c r="DX240" s="336"/>
      <c r="DY240" s="336"/>
      <c r="DZ240" s="336"/>
      <c r="EA240" s="336"/>
      <c r="EB240" s="336"/>
      <c r="EC240" s="336"/>
      <c r="ED240" s="336"/>
      <c r="EE240" s="336"/>
      <c r="EF240" s="336"/>
      <c r="EG240" s="336"/>
      <c r="EH240" s="336"/>
      <c r="EI240" s="336"/>
      <c r="EJ240" s="336"/>
      <c r="EK240" s="336"/>
      <c r="EL240" s="336"/>
      <c r="EM240" s="336"/>
      <c r="EN240" s="336"/>
      <c r="EO240" s="336"/>
      <c r="EP240" s="336"/>
      <c r="EQ240" s="336"/>
      <c r="ER240" s="336"/>
      <c r="ES240" s="336"/>
      <c r="ET240" s="336"/>
      <c r="EU240" s="336"/>
      <c r="EV240" s="336"/>
      <c r="EW240" s="336"/>
      <c r="EX240" s="336"/>
      <c r="EY240" s="336"/>
      <c r="EZ240" s="336"/>
      <c r="FA240" s="336"/>
      <c r="FB240" s="336"/>
      <c r="FC240" s="336"/>
      <c r="FD240" s="336"/>
      <c r="FE240" s="336"/>
      <c r="FF240" s="336"/>
      <c r="FG240" s="336"/>
      <c r="FH240" s="336"/>
      <c r="FI240" s="336"/>
      <c r="FJ240" s="336"/>
      <c r="FK240" s="336"/>
      <c r="FL240" s="336"/>
      <c r="FM240" s="336"/>
      <c r="FN240" s="336"/>
      <c r="FO240" s="336"/>
      <c r="FP240" s="336"/>
      <c r="FQ240" s="336"/>
      <c r="FR240" s="336"/>
      <c r="FS240" s="336"/>
      <c r="FT240" s="336"/>
      <c r="FU240" s="336"/>
      <c r="FV240" s="336"/>
      <c r="FW240" s="336"/>
      <c r="FX240" s="336"/>
      <c r="FY240" s="336"/>
      <c r="FZ240" s="336"/>
      <c r="GA240" s="336"/>
      <c r="GB240" s="336"/>
      <c r="GC240" s="336"/>
      <c r="GD240" s="336"/>
      <c r="GE240" s="336"/>
      <c r="GF240" s="336"/>
      <c r="GG240" s="336"/>
      <c r="GH240" s="336"/>
      <c r="GI240" s="336"/>
      <c r="GJ240" s="336"/>
      <c r="GK240" s="336"/>
      <c r="GL240" s="336"/>
      <c r="GM240" s="336"/>
      <c r="GN240" s="336"/>
      <c r="GO240" s="336"/>
      <c r="GP240" s="336"/>
      <c r="GQ240" s="336"/>
      <c r="GR240" s="336"/>
      <c r="GS240" s="336"/>
      <c r="GT240" s="336"/>
      <c r="GU240" s="336"/>
      <c r="GV240" s="336"/>
      <c r="GW240" s="336"/>
      <c r="GX240" s="336"/>
      <c r="GY240" s="336"/>
      <c r="GZ240" s="336"/>
      <c r="HA240" s="336"/>
      <c r="HB240" s="336"/>
      <c r="HC240" s="336"/>
      <c r="HD240" s="336"/>
      <c r="HE240" s="336"/>
      <c r="HF240" s="336"/>
      <c r="HG240" s="336"/>
      <c r="HH240" s="336"/>
      <c r="HI240" s="336"/>
      <c r="HJ240" s="336"/>
      <c r="HK240" s="336"/>
      <c r="HL240" s="336"/>
      <c r="HM240" s="336"/>
      <c r="HN240" s="336"/>
      <c r="HO240" s="336"/>
      <c r="HP240" s="336"/>
      <c r="HQ240" s="336"/>
      <c r="HR240" s="336"/>
      <c r="HS240" s="336"/>
      <c r="HT240" s="336"/>
      <c r="HU240" s="336"/>
      <c r="HV240" s="336"/>
      <c r="HW240" s="336"/>
      <c r="HX240" s="336"/>
      <c r="HY240" s="336"/>
      <c r="HZ240" s="336"/>
      <c r="IA240" s="336"/>
      <c r="IB240" s="336"/>
      <c r="IC240" s="336"/>
      <c r="ID240" s="336"/>
      <c r="IE240" s="336"/>
      <c r="IF240" s="336"/>
      <c r="IG240" s="336"/>
      <c r="IH240" s="336"/>
      <c r="II240" s="336"/>
      <c r="IJ240" s="336"/>
      <c r="IK240" s="336"/>
      <c r="IL240" s="336"/>
      <c r="IM240" s="336"/>
      <c r="IN240" s="336"/>
      <c r="IO240" s="336"/>
      <c r="IP240" s="336"/>
      <c r="IQ240" s="336"/>
      <c r="IR240" s="336"/>
      <c r="IS240" s="336"/>
      <c r="IT240" s="336"/>
      <c r="IU240" s="336"/>
      <c r="IV240" s="336"/>
    </row>
    <row r="241" spans="1:256" s="337" customFormat="1" ht="15" customHeight="1" thickBot="1">
      <c r="A241" s="113" t="s">
        <v>28</v>
      </c>
      <c r="B241" s="114" t="s">
        <v>24</v>
      </c>
      <c r="C241" s="114" t="s">
        <v>25</v>
      </c>
      <c r="D241" s="114" t="s">
        <v>26</v>
      </c>
      <c r="E241" s="117" t="s">
        <v>27</v>
      </c>
      <c r="F241" s="217"/>
      <c r="G241" s="252"/>
      <c r="H241" s="236"/>
      <c r="I241" s="236"/>
      <c r="J241" s="236"/>
      <c r="K241" s="236"/>
      <c r="L241" s="236"/>
      <c r="M241" s="236"/>
      <c r="N241" s="236"/>
      <c r="O241" s="236"/>
      <c r="P241" s="336"/>
      <c r="Q241" s="336"/>
      <c r="R241" s="336"/>
      <c r="S241" s="336"/>
      <c r="T241" s="336"/>
      <c r="U241" s="336"/>
      <c r="V241" s="336"/>
      <c r="W241" s="336"/>
      <c r="X241" s="336"/>
      <c r="Y241" s="336"/>
      <c r="Z241" s="336"/>
      <c r="AA241" s="336"/>
      <c r="AB241" s="336"/>
      <c r="AC241" s="336"/>
      <c r="AD241" s="336"/>
      <c r="AE241" s="336"/>
      <c r="AF241" s="336"/>
      <c r="AG241" s="336"/>
      <c r="AH241" s="336"/>
      <c r="AI241" s="336"/>
      <c r="AJ241" s="336"/>
      <c r="AK241" s="336"/>
      <c r="AL241" s="336"/>
      <c r="AM241" s="336"/>
      <c r="AN241" s="336"/>
      <c r="AO241" s="336"/>
      <c r="AP241" s="336"/>
      <c r="AQ241" s="336"/>
      <c r="AR241" s="336"/>
      <c r="AS241" s="336"/>
      <c r="AT241" s="336"/>
      <c r="AU241" s="336"/>
      <c r="AV241" s="336"/>
      <c r="AW241" s="336"/>
      <c r="AX241" s="336"/>
      <c r="AY241" s="336"/>
      <c r="AZ241" s="336"/>
      <c r="BA241" s="336"/>
      <c r="BB241" s="336"/>
      <c r="BC241" s="336"/>
      <c r="BD241" s="336"/>
      <c r="BE241" s="336"/>
      <c r="BF241" s="336"/>
      <c r="BG241" s="336"/>
      <c r="BH241" s="336"/>
      <c r="BI241" s="336"/>
      <c r="BJ241" s="336"/>
      <c r="BK241" s="336"/>
      <c r="BL241" s="336"/>
      <c r="BM241" s="336"/>
      <c r="BN241" s="336"/>
      <c r="BO241" s="336"/>
      <c r="BP241" s="336"/>
      <c r="BQ241" s="336"/>
      <c r="BR241" s="336"/>
      <c r="BS241" s="336"/>
      <c r="BT241" s="336"/>
      <c r="BU241" s="336"/>
      <c r="BV241" s="336"/>
      <c r="BW241" s="336"/>
      <c r="BX241" s="336"/>
      <c r="BY241" s="336"/>
      <c r="BZ241" s="336"/>
      <c r="CA241" s="336"/>
      <c r="CB241" s="336"/>
      <c r="CC241" s="336"/>
      <c r="CD241" s="336"/>
      <c r="CE241" s="336"/>
      <c r="CF241" s="336"/>
      <c r="CG241" s="336"/>
      <c r="CH241" s="336"/>
      <c r="CI241" s="336"/>
      <c r="CJ241" s="336"/>
      <c r="CK241" s="336"/>
      <c r="CL241" s="336"/>
      <c r="CM241" s="336"/>
      <c r="CN241" s="336"/>
      <c r="CO241" s="336"/>
      <c r="CP241" s="336"/>
      <c r="CQ241" s="336"/>
      <c r="CR241" s="336"/>
      <c r="CS241" s="336"/>
      <c r="CT241" s="336"/>
      <c r="CU241" s="336"/>
      <c r="CV241" s="336"/>
      <c r="CW241" s="336"/>
      <c r="CX241" s="336"/>
      <c r="CY241" s="336"/>
      <c r="CZ241" s="336"/>
      <c r="DA241" s="336"/>
      <c r="DB241" s="336"/>
      <c r="DC241" s="336"/>
      <c r="DD241" s="336"/>
      <c r="DE241" s="336"/>
      <c r="DF241" s="336"/>
      <c r="DG241" s="336"/>
      <c r="DH241" s="336"/>
      <c r="DI241" s="336"/>
      <c r="DJ241" s="336"/>
      <c r="DK241" s="336"/>
      <c r="DL241" s="336"/>
      <c r="DM241" s="336"/>
      <c r="DN241" s="336"/>
      <c r="DO241" s="336"/>
      <c r="DP241" s="336"/>
      <c r="DQ241" s="336"/>
      <c r="DR241" s="336"/>
      <c r="DS241" s="336"/>
      <c r="DT241" s="336"/>
      <c r="DU241" s="336"/>
      <c r="DV241" s="336"/>
      <c r="DW241" s="336"/>
      <c r="DX241" s="336"/>
      <c r="DY241" s="336"/>
      <c r="DZ241" s="336"/>
      <c r="EA241" s="336"/>
      <c r="EB241" s="336"/>
      <c r="EC241" s="336"/>
      <c r="ED241" s="336"/>
      <c r="EE241" s="336"/>
      <c r="EF241" s="336"/>
      <c r="EG241" s="336"/>
      <c r="EH241" s="336"/>
      <c r="EI241" s="336"/>
      <c r="EJ241" s="336"/>
      <c r="EK241" s="336"/>
      <c r="EL241" s="336"/>
      <c r="EM241" s="336"/>
      <c r="EN241" s="336"/>
      <c r="EO241" s="336"/>
      <c r="EP241" s="336"/>
      <c r="EQ241" s="336"/>
      <c r="ER241" s="336"/>
      <c r="ES241" s="336"/>
      <c r="ET241" s="336"/>
      <c r="EU241" s="336"/>
      <c r="EV241" s="336"/>
      <c r="EW241" s="336"/>
      <c r="EX241" s="336"/>
      <c r="EY241" s="336"/>
      <c r="EZ241" s="336"/>
      <c r="FA241" s="336"/>
      <c r="FB241" s="336"/>
      <c r="FC241" s="336"/>
      <c r="FD241" s="336"/>
      <c r="FE241" s="336"/>
      <c r="FF241" s="336"/>
      <c r="FG241" s="336"/>
      <c r="FH241" s="336"/>
      <c r="FI241" s="336"/>
      <c r="FJ241" s="336"/>
      <c r="FK241" s="336"/>
      <c r="FL241" s="336"/>
      <c r="FM241" s="336"/>
      <c r="FN241" s="336"/>
      <c r="FO241" s="336"/>
      <c r="FP241" s="336"/>
      <c r="FQ241" s="336"/>
      <c r="FR241" s="336"/>
      <c r="FS241" s="336"/>
      <c r="FT241" s="336"/>
      <c r="FU241" s="336"/>
      <c r="FV241" s="336"/>
      <c r="FW241" s="336"/>
      <c r="FX241" s="336"/>
      <c r="FY241" s="336"/>
      <c r="FZ241" s="336"/>
      <c r="GA241" s="336"/>
      <c r="GB241" s="336"/>
      <c r="GC241" s="336"/>
      <c r="GD241" s="336"/>
      <c r="GE241" s="336"/>
      <c r="GF241" s="336"/>
      <c r="GG241" s="336"/>
      <c r="GH241" s="336"/>
      <c r="GI241" s="336"/>
      <c r="GJ241" s="336"/>
      <c r="GK241" s="336"/>
      <c r="GL241" s="336"/>
      <c r="GM241" s="336"/>
      <c r="GN241" s="336"/>
      <c r="GO241" s="336"/>
      <c r="GP241" s="336"/>
      <c r="GQ241" s="336"/>
      <c r="GR241" s="336"/>
      <c r="GS241" s="336"/>
      <c r="GT241" s="336"/>
      <c r="GU241" s="336"/>
      <c r="GV241" s="336"/>
      <c r="GW241" s="336"/>
      <c r="GX241" s="336"/>
      <c r="GY241" s="336"/>
      <c r="GZ241" s="336"/>
      <c r="HA241" s="336"/>
      <c r="HB241" s="336"/>
      <c r="HC241" s="336"/>
      <c r="HD241" s="336"/>
      <c r="HE241" s="336"/>
      <c r="HF241" s="336"/>
      <c r="HG241" s="336"/>
      <c r="HH241" s="336"/>
      <c r="HI241" s="336"/>
      <c r="HJ241" s="336"/>
      <c r="HK241" s="336"/>
      <c r="HL241" s="336"/>
      <c r="HM241" s="336"/>
      <c r="HN241" s="336"/>
      <c r="HO241" s="336"/>
      <c r="HP241" s="336"/>
      <c r="HQ241" s="336"/>
      <c r="HR241" s="336"/>
      <c r="HS241" s="336"/>
      <c r="HT241" s="336"/>
      <c r="HU241" s="336"/>
      <c r="HV241" s="336"/>
      <c r="HW241" s="336"/>
      <c r="HX241" s="336"/>
      <c r="HY241" s="336"/>
      <c r="HZ241" s="336"/>
      <c r="IA241" s="336"/>
      <c r="IB241" s="336"/>
      <c r="IC241" s="336"/>
      <c r="ID241" s="336"/>
      <c r="IE241" s="336"/>
      <c r="IF241" s="336"/>
      <c r="IG241" s="336"/>
      <c r="IH241" s="336"/>
      <c r="II241" s="336"/>
      <c r="IJ241" s="336"/>
      <c r="IK241" s="336"/>
      <c r="IL241" s="336"/>
      <c r="IM241" s="336"/>
      <c r="IN241" s="336"/>
      <c r="IO241" s="336"/>
      <c r="IP241" s="336"/>
      <c r="IQ241" s="336"/>
      <c r="IR241" s="336"/>
      <c r="IS241" s="336"/>
      <c r="IT241" s="336"/>
      <c r="IU241" s="336"/>
      <c r="IV241" s="336"/>
    </row>
    <row r="242" spans="1:256" s="337" customFormat="1" ht="15" customHeight="1" thickTop="1" thickBot="1">
      <c r="A242" s="62">
        <v>1</v>
      </c>
      <c r="B242" s="53">
        <f>A242*0.986923</f>
        <v>0.98692299999999999</v>
      </c>
      <c r="C242" s="53">
        <f>A242*10.1979</f>
        <v>10.197900000000001</v>
      </c>
      <c r="D242" s="59">
        <f>A242*750.061</f>
        <v>750.06100000000004</v>
      </c>
      <c r="E242" s="9">
        <f>A242*14.50377</f>
        <v>14.503769999999999</v>
      </c>
      <c r="F242" s="217"/>
      <c r="G242" s="252"/>
      <c r="H242" s="236"/>
      <c r="I242" s="236"/>
      <c r="J242" s="236"/>
      <c r="K242" s="236"/>
      <c r="L242" s="236"/>
      <c r="M242" s="236"/>
      <c r="N242" s="236"/>
      <c r="O242" s="236"/>
      <c r="P242" s="336"/>
      <c r="Q242" s="336"/>
      <c r="R242" s="336"/>
      <c r="S242" s="336"/>
      <c r="T242" s="336"/>
      <c r="U242" s="336"/>
      <c r="V242" s="336"/>
      <c r="W242" s="336"/>
      <c r="X242" s="336"/>
      <c r="Y242" s="336"/>
      <c r="Z242" s="336"/>
      <c r="AA242" s="336"/>
      <c r="AB242" s="336"/>
      <c r="AC242" s="336"/>
      <c r="AD242" s="336"/>
      <c r="AE242" s="336"/>
      <c r="AF242" s="336"/>
      <c r="AG242" s="336"/>
      <c r="AH242" s="336"/>
      <c r="AI242" s="336"/>
      <c r="AJ242" s="336"/>
      <c r="AK242" s="336"/>
      <c r="AL242" s="336"/>
      <c r="AM242" s="336"/>
      <c r="AN242" s="336"/>
      <c r="AO242" s="336"/>
      <c r="AP242" s="336"/>
      <c r="AQ242" s="336"/>
      <c r="AR242" s="336"/>
      <c r="AS242" s="336"/>
      <c r="AT242" s="336"/>
      <c r="AU242" s="336"/>
      <c r="AV242" s="336"/>
      <c r="AW242" s="336"/>
      <c r="AX242" s="336"/>
      <c r="AY242" s="336"/>
      <c r="AZ242" s="336"/>
      <c r="BA242" s="336"/>
      <c r="BB242" s="336"/>
      <c r="BC242" s="336"/>
      <c r="BD242" s="336"/>
      <c r="BE242" s="336"/>
      <c r="BF242" s="336"/>
      <c r="BG242" s="336"/>
      <c r="BH242" s="336"/>
      <c r="BI242" s="336"/>
      <c r="BJ242" s="336"/>
      <c r="BK242" s="336"/>
      <c r="BL242" s="336"/>
      <c r="BM242" s="336"/>
      <c r="BN242" s="336"/>
      <c r="BO242" s="336"/>
      <c r="BP242" s="336"/>
      <c r="BQ242" s="336"/>
      <c r="BR242" s="336"/>
      <c r="BS242" s="336"/>
      <c r="BT242" s="336"/>
      <c r="BU242" s="336"/>
      <c r="BV242" s="336"/>
      <c r="BW242" s="336"/>
      <c r="BX242" s="336"/>
      <c r="BY242" s="336"/>
      <c r="BZ242" s="336"/>
      <c r="CA242" s="336"/>
      <c r="CB242" s="336"/>
      <c r="CC242" s="336"/>
      <c r="CD242" s="336"/>
      <c r="CE242" s="336"/>
      <c r="CF242" s="336"/>
      <c r="CG242" s="336"/>
      <c r="CH242" s="336"/>
      <c r="CI242" s="336"/>
      <c r="CJ242" s="336"/>
      <c r="CK242" s="336"/>
      <c r="CL242" s="336"/>
      <c r="CM242" s="336"/>
      <c r="CN242" s="336"/>
      <c r="CO242" s="336"/>
      <c r="CP242" s="336"/>
      <c r="CQ242" s="336"/>
      <c r="CR242" s="336"/>
      <c r="CS242" s="336"/>
      <c r="CT242" s="336"/>
      <c r="CU242" s="336"/>
      <c r="CV242" s="336"/>
      <c r="CW242" s="336"/>
      <c r="CX242" s="336"/>
      <c r="CY242" s="336"/>
      <c r="CZ242" s="336"/>
      <c r="DA242" s="336"/>
      <c r="DB242" s="336"/>
      <c r="DC242" s="336"/>
      <c r="DD242" s="336"/>
      <c r="DE242" s="336"/>
      <c r="DF242" s="336"/>
      <c r="DG242" s="336"/>
      <c r="DH242" s="336"/>
      <c r="DI242" s="336"/>
      <c r="DJ242" s="336"/>
      <c r="DK242" s="336"/>
      <c r="DL242" s="336"/>
      <c r="DM242" s="336"/>
      <c r="DN242" s="336"/>
      <c r="DO242" s="336"/>
      <c r="DP242" s="336"/>
      <c r="DQ242" s="336"/>
      <c r="DR242" s="336"/>
      <c r="DS242" s="336"/>
      <c r="DT242" s="336"/>
      <c r="DU242" s="336"/>
      <c r="DV242" s="336"/>
      <c r="DW242" s="336"/>
      <c r="DX242" s="336"/>
      <c r="DY242" s="336"/>
      <c r="DZ242" s="336"/>
      <c r="EA242" s="336"/>
      <c r="EB242" s="336"/>
      <c r="EC242" s="336"/>
      <c r="ED242" s="336"/>
      <c r="EE242" s="336"/>
      <c r="EF242" s="336"/>
      <c r="EG242" s="336"/>
      <c r="EH242" s="336"/>
      <c r="EI242" s="336"/>
      <c r="EJ242" s="336"/>
      <c r="EK242" s="336"/>
      <c r="EL242" s="336"/>
      <c r="EM242" s="336"/>
      <c r="EN242" s="336"/>
      <c r="EO242" s="336"/>
      <c r="EP242" s="336"/>
      <c r="EQ242" s="336"/>
      <c r="ER242" s="336"/>
      <c r="ES242" s="336"/>
      <c r="ET242" s="336"/>
      <c r="EU242" s="336"/>
      <c r="EV242" s="336"/>
      <c r="EW242" s="336"/>
      <c r="EX242" s="336"/>
      <c r="EY242" s="336"/>
      <c r="EZ242" s="336"/>
      <c r="FA242" s="336"/>
      <c r="FB242" s="336"/>
      <c r="FC242" s="336"/>
      <c r="FD242" s="336"/>
      <c r="FE242" s="336"/>
      <c r="FF242" s="336"/>
      <c r="FG242" s="336"/>
      <c r="FH242" s="336"/>
      <c r="FI242" s="336"/>
      <c r="FJ242" s="336"/>
      <c r="FK242" s="336"/>
      <c r="FL242" s="336"/>
      <c r="FM242" s="336"/>
      <c r="FN242" s="336"/>
      <c r="FO242" s="336"/>
      <c r="FP242" s="336"/>
      <c r="FQ242" s="336"/>
      <c r="FR242" s="336"/>
      <c r="FS242" s="336"/>
      <c r="FT242" s="336"/>
      <c r="FU242" s="336"/>
      <c r="FV242" s="336"/>
      <c r="FW242" s="336"/>
      <c r="FX242" s="336"/>
      <c r="FY242" s="336"/>
      <c r="FZ242" s="336"/>
      <c r="GA242" s="336"/>
      <c r="GB242" s="336"/>
      <c r="GC242" s="336"/>
      <c r="GD242" s="336"/>
      <c r="GE242" s="336"/>
      <c r="GF242" s="336"/>
      <c r="GG242" s="336"/>
      <c r="GH242" s="336"/>
      <c r="GI242" s="336"/>
      <c r="GJ242" s="336"/>
      <c r="GK242" s="336"/>
      <c r="GL242" s="336"/>
      <c r="GM242" s="336"/>
      <c r="GN242" s="336"/>
      <c r="GO242" s="336"/>
      <c r="GP242" s="336"/>
      <c r="GQ242" s="336"/>
      <c r="GR242" s="336"/>
      <c r="GS242" s="336"/>
      <c r="GT242" s="336"/>
      <c r="GU242" s="336"/>
      <c r="GV242" s="336"/>
      <c r="GW242" s="336"/>
      <c r="GX242" s="336"/>
      <c r="GY242" s="336"/>
      <c r="GZ242" s="336"/>
      <c r="HA242" s="336"/>
      <c r="HB242" s="336"/>
      <c r="HC242" s="336"/>
      <c r="HD242" s="336"/>
      <c r="HE242" s="336"/>
      <c r="HF242" s="336"/>
      <c r="HG242" s="336"/>
      <c r="HH242" s="336"/>
      <c r="HI242" s="336"/>
      <c r="HJ242" s="336"/>
      <c r="HK242" s="336"/>
      <c r="HL242" s="336"/>
      <c r="HM242" s="336"/>
      <c r="HN242" s="336"/>
      <c r="HO242" s="336"/>
      <c r="HP242" s="336"/>
      <c r="HQ242" s="336"/>
      <c r="HR242" s="336"/>
      <c r="HS242" s="336"/>
      <c r="HT242" s="336"/>
      <c r="HU242" s="336"/>
      <c r="HV242" s="336"/>
      <c r="HW242" s="336"/>
      <c r="HX242" s="336"/>
      <c r="HY242" s="336"/>
      <c r="HZ242" s="336"/>
      <c r="IA242" s="336"/>
      <c r="IB242" s="336"/>
      <c r="IC242" s="336"/>
      <c r="ID242" s="336"/>
      <c r="IE242" s="336"/>
      <c r="IF242" s="336"/>
      <c r="IG242" s="336"/>
      <c r="IH242" s="336"/>
      <c r="II242" s="336"/>
      <c r="IJ242" s="336"/>
      <c r="IK242" s="336"/>
      <c r="IL242" s="336"/>
      <c r="IM242" s="336"/>
      <c r="IN242" s="336"/>
      <c r="IO242" s="336"/>
      <c r="IP242" s="336"/>
      <c r="IQ242" s="336"/>
      <c r="IR242" s="336"/>
      <c r="IS242" s="336"/>
      <c r="IT242" s="336"/>
      <c r="IU242" s="336"/>
      <c r="IV242" s="336"/>
    </row>
    <row r="243" spans="1:256" s="337" customFormat="1" ht="15" customHeight="1" thickTop="1" thickBot="1">
      <c r="A243" s="56">
        <f>B243/0.986923</f>
        <v>1.0132502738308866</v>
      </c>
      <c r="B243" s="4">
        <v>1</v>
      </c>
      <c r="C243" s="53">
        <f>A243*10.1979</f>
        <v>10.3330249675</v>
      </c>
      <c r="D243" s="59">
        <f>A243*750.061</f>
        <v>759.99951363986872</v>
      </c>
      <c r="E243" s="9">
        <f>A243*14.50377</f>
        <v>14.695948924080199</v>
      </c>
      <c r="F243" s="217"/>
      <c r="G243" s="252"/>
      <c r="H243" s="236"/>
      <c r="I243" s="236"/>
      <c r="J243" s="236"/>
      <c r="K243" s="236"/>
      <c r="L243" s="236"/>
      <c r="M243" s="236"/>
      <c r="N243" s="236"/>
      <c r="O243" s="236"/>
      <c r="P243" s="336"/>
      <c r="Q243" s="336"/>
      <c r="R243" s="336"/>
      <c r="S243" s="336"/>
      <c r="T243" s="336"/>
      <c r="U243" s="336"/>
      <c r="V243" s="336"/>
      <c r="W243" s="336"/>
      <c r="X243" s="336"/>
      <c r="Y243" s="336"/>
      <c r="Z243" s="336"/>
      <c r="AA243" s="336"/>
      <c r="AB243" s="336"/>
      <c r="AC243" s="336"/>
      <c r="AD243" s="336"/>
      <c r="AE243" s="336"/>
      <c r="AF243" s="336"/>
      <c r="AG243" s="336"/>
      <c r="AH243" s="336"/>
      <c r="AI243" s="336"/>
      <c r="AJ243" s="336"/>
      <c r="AK243" s="336"/>
      <c r="AL243" s="336"/>
      <c r="AM243" s="336"/>
      <c r="AN243" s="336"/>
      <c r="AO243" s="336"/>
      <c r="AP243" s="336"/>
      <c r="AQ243" s="336"/>
      <c r="AR243" s="336"/>
      <c r="AS243" s="336"/>
      <c r="AT243" s="336"/>
      <c r="AU243" s="336"/>
      <c r="AV243" s="336"/>
      <c r="AW243" s="336"/>
      <c r="AX243" s="336"/>
      <c r="AY243" s="336"/>
      <c r="AZ243" s="336"/>
      <c r="BA243" s="336"/>
      <c r="BB243" s="336"/>
      <c r="BC243" s="336"/>
      <c r="BD243" s="336"/>
      <c r="BE243" s="336"/>
      <c r="BF243" s="336"/>
      <c r="BG243" s="336"/>
      <c r="BH243" s="336"/>
      <c r="BI243" s="336"/>
      <c r="BJ243" s="336"/>
      <c r="BK243" s="336"/>
      <c r="BL243" s="336"/>
      <c r="BM243" s="336"/>
      <c r="BN243" s="336"/>
      <c r="BO243" s="336"/>
      <c r="BP243" s="336"/>
      <c r="BQ243" s="336"/>
      <c r="BR243" s="336"/>
      <c r="BS243" s="336"/>
      <c r="BT243" s="336"/>
      <c r="BU243" s="336"/>
      <c r="BV243" s="336"/>
      <c r="BW243" s="336"/>
      <c r="BX243" s="336"/>
      <c r="BY243" s="336"/>
      <c r="BZ243" s="336"/>
      <c r="CA243" s="336"/>
      <c r="CB243" s="336"/>
      <c r="CC243" s="336"/>
      <c r="CD243" s="336"/>
      <c r="CE243" s="336"/>
      <c r="CF243" s="336"/>
      <c r="CG243" s="336"/>
      <c r="CH243" s="336"/>
      <c r="CI243" s="336"/>
      <c r="CJ243" s="336"/>
      <c r="CK243" s="336"/>
      <c r="CL243" s="336"/>
      <c r="CM243" s="336"/>
      <c r="CN243" s="336"/>
      <c r="CO243" s="336"/>
      <c r="CP243" s="336"/>
      <c r="CQ243" s="336"/>
      <c r="CR243" s="336"/>
      <c r="CS243" s="336"/>
      <c r="CT243" s="336"/>
      <c r="CU243" s="336"/>
      <c r="CV243" s="336"/>
      <c r="CW243" s="336"/>
      <c r="CX243" s="336"/>
      <c r="CY243" s="336"/>
      <c r="CZ243" s="336"/>
      <c r="DA243" s="336"/>
      <c r="DB243" s="336"/>
      <c r="DC243" s="336"/>
      <c r="DD243" s="336"/>
      <c r="DE243" s="336"/>
      <c r="DF243" s="336"/>
      <c r="DG243" s="336"/>
      <c r="DH243" s="336"/>
      <c r="DI243" s="336"/>
      <c r="DJ243" s="336"/>
      <c r="DK243" s="336"/>
      <c r="DL243" s="336"/>
      <c r="DM243" s="336"/>
      <c r="DN243" s="336"/>
      <c r="DO243" s="336"/>
      <c r="DP243" s="336"/>
      <c r="DQ243" s="336"/>
      <c r="DR243" s="336"/>
      <c r="DS243" s="336"/>
      <c r="DT243" s="336"/>
      <c r="DU243" s="336"/>
      <c r="DV243" s="336"/>
      <c r="DW243" s="336"/>
      <c r="DX243" s="336"/>
      <c r="DY243" s="336"/>
      <c r="DZ243" s="336"/>
      <c r="EA243" s="336"/>
      <c r="EB243" s="336"/>
      <c r="EC243" s="336"/>
      <c r="ED243" s="336"/>
      <c r="EE243" s="336"/>
      <c r="EF243" s="336"/>
      <c r="EG243" s="336"/>
      <c r="EH243" s="336"/>
      <c r="EI243" s="336"/>
      <c r="EJ243" s="336"/>
      <c r="EK243" s="336"/>
      <c r="EL243" s="336"/>
      <c r="EM243" s="336"/>
      <c r="EN243" s="336"/>
      <c r="EO243" s="336"/>
      <c r="EP243" s="336"/>
      <c r="EQ243" s="336"/>
      <c r="ER243" s="336"/>
      <c r="ES243" s="336"/>
      <c r="ET243" s="336"/>
      <c r="EU243" s="336"/>
      <c r="EV243" s="336"/>
      <c r="EW243" s="336"/>
      <c r="EX243" s="336"/>
      <c r="EY243" s="336"/>
      <c r="EZ243" s="336"/>
      <c r="FA243" s="336"/>
      <c r="FB243" s="336"/>
      <c r="FC243" s="336"/>
      <c r="FD243" s="336"/>
      <c r="FE243" s="336"/>
      <c r="FF243" s="336"/>
      <c r="FG243" s="336"/>
      <c r="FH243" s="336"/>
      <c r="FI243" s="336"/>
      <c r="FJ243" s="336"/>
      <c r="FK243" s="336"/>
      <c r="FL243" s="336"/>
      <c r="FM243" s="336"/>
      <c r="FN243" s="336"/>
      <c r="FO243" s="336"/>
      <c r="FP243" s="336"/>
      <c r="FQ243" s="336"/>
      <c r="FR243" s="336"/>
      <c r="FS243" s="336"/>
      <c r="FT243" s="336"/>
      <c r="FU243" s="336"/>
      <c r="FV243" s="336"/>
      <c r="FW243" s="336"/>
      <c r="FX243" s="336"/>
      <c r="FY243" s="336"/>
      <c r="FZ243" s="336"/>
      <c r="GA243" s="336"/>
      <c r="GB243" s="336"/>
      <c r="GC243" s="336"/>
      <c r="GD243" s="336"/>
      <c r="GE243" s="336"/>
      <c r="GF243" s="336"/>
      <c r="GG243" s="336"/>
      <c r="GH243" s="336"/>
      <c r="GI243" s="336"/>
      <c r="GJ243" s="336"/>
      <c r="GK243" s="336"/>
      <c r="GL243" s="336"/>
      <c r="GM243" s="336"/>
      <c r="GN243" s="336"/>
      <c r="GO243" s="336"/>
      <c r="GP243" s="336"/>
      <c r="GQ243" s="336"/>
      <c r="GR243" s="336"/>
      <c r="GS243" s="336"/>
      <c r="GT243" s="336"/>
      <c r="GU243" s="336"/>
      <c r="GV243" s="336"/>
      <c r="GW243" s="336"/>
      <c r="GX243" s="336"/>
      <c r="GY243" s="336"/>
      <c r="GZ243" s="336"/>
      <c r="HA243" s="336"/>
      <c r="HB243" s="336"/>
      <c r="HC243" s="336"/>
      <c r="HD243" s="336"/>
      <c r="HE243" s="336"/>
      <c r="HF243" s="336"/>
      <c r="HG243" s="336"/>
      <c r="HH243" s="336"/>
      <c r="HI243" s="336"/>
      <c r="HJ243" s="336"/>
      <c r="HK243" s="336"/>
      <c r="HL243" s="336"/>
      <c r="HM243" s="336"/>
      <c r="HN243" s="336"/>
      <c r="HO243" s="336"/>
      <c r="HP243" s="336"/>
      <c r="HQ243" s="336"/>
      <c r="HR243" s="336"/>
      <c r="HS243" s="336"/>
      <c r="HT243" s="336"/>
      <c r="HU243" s="336"/>
      <c r="HV243" s="336"/>
      <c r="HW243" s="336"/>
      <c r="HX243" s="336"/>
      <c r="HY243" s="336"/>
      <c r="HZ243" s="336"/>
      <c r="IA243" s="336"/>
      <c r="IB243" s="336"/>
      <c r="IC243" s="336"/>
      <c r="ID243" s="336"/>
      <c r="IE243" s="336"/>
      <c r="IF243" s="336"/>
      <c r="IG243" s="336"/>
      <c r="IH243" s="336"/>
      <c r="II243" s="336"/>
      <c r="IJ243" s="336"/>
      <c r="IK243" s="336"/>
      <c r="IL243" s="336"/>
      <c r="IM243" s="336"/>
      <c r="IN243" s="336"/>
      <c r="IO243" s="336"/>
      <c r="IP243" s="336"/>
      <c r="IQ243" s="336"/>
      <c r="IR243" s="336"/>
      <c r="IS243" s="336"/>
      <c r="IT243" s="336"/>
      <c r="IU243" s="336"/>
      <c r="IV243" s="336"/>
    </row>
    <row r="244" spans="1:256" s="337" customFormat="1" ht="15" customHeight="1" thickTop="1" thickBot="1">
      <c r="A244" s="56">
        <f>C244/10.1979</f>
        <v>0.98059404387177751</v>
      </c>
      <c r="B244" s="53">
        <f>A244*0.986923</f>
        <v>0.96777081556006628</v>
      </c>
      <c r="C244" s="4">
        <v>10</v>
      </c>
      <c r="D244" s="59">
        <f>A244*750.061</f>
        <v>735.50534914050934</v>
      </c>
      <c r="E244" s="9">
        <f>A244*14.50377</f>
        <v>14.22231047568617</v>
      </c>
      <c r="F244" s="217"/>
      <c r="G244" s="252"/>
      <c r="H244" s="236"/>
      <c r="I244" s="236"/>
      <c r="J244" s="236"/>
      <c r="K244" s="236"/>
      <c r="L244" s="236"/>
      <c r="M244" s="236"/>
      <c r="N244" s="236"/>
      <c r="O244" s="236"/>
      <c r="P244" s="336"/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/>
      <c r="AC244" s="336"/>
      <c r="AD244" s="336"/>
      <c r="AE244" s="336"/>
      <c r="AF244" s="336"/>
      <c r="AG244" s="336"/>
      <c r="AH244" s="336"/>
      <c r="AI244" s="336"/>
      <c r="AJ244" s="336"/>
      <c r="AK244" s="336"/>
      <c r="AL244" s="336"/>
      <c r="AM244" s="336"/>
      <c r="AN244" s="336"/>
      <c r="AO244" s="336"/>
      <c r="AP244" s="336"/>
      <c r="AQ244" s="336"/>
      <c r="AR244" s="336"/>
      <c r="AS244" s="336"/>
      <c r="AT244" s="336"/>
      <c r="AU244" s="336"/>
      <c r="AV244" s="336"/>
      <c r="AW244" s="336"/>
      <c r="AX244" s="336"/>
      <c r="AY244" s="336"/>
      <c r="AZ244" s="336"/>
      <c r="BA244" s="336"/>
      <c r="BB244" s="336"/>
      <c r="BC244" s="336"/>
      <c r="BD244" s="336"/>
      <c r="BE244" s="336"/>
      <c r="BF244" s="336"/>
      <c r="BG244" s="336"/>
      <c r="BH244" s="336"/>
      <c r="BI244" s="336"/>
      <c r="BJ244" s="336"/>
      <c r="BK244" s="336"/>
      <c r="BL244" s="336"/>
      <c r="BM244" s="336"/>
      <c r="BN244" s="336"/>
      <c r="BO244" s="336"/>
      <c r="BP244" s="336"/>
      <c r="BQ244" s="336"/>
      <c r="BR244" s="336"/>
      <c r="BS244" s="336"/>
      <c r="BT244" s="336"/>
      <c r="BU244" s="336"/>
      <c r="BV244" s="336"/>
      <c r="BW244" s="336"/>
      <c r="BX244" s="336"/>
      <c r="BY244" s="336"/>
      <c r="BZ244" s="336"/>
      <c r="CA244" s="336"/>
      <c r="CB244" s="336"/>
      <c r="CC244" s="336"/>
      <c r="CD244" s="336"/>
      <c r="CE244" s="336"/>
      <c r="CF244" s="336"/>
      <c r="CG244" s="336"/>
      <c r="CH244" s="336"/>
      <c r="CI244" s="336"/>
      <c r="CJ244" s="336"/>
      <c r="CK244" s="336"/>
      <c r="CL244" s="336"/>
      <c r="CM244" s="336"/>
      <c r="CN244" s="336"/>
      <c r="CO244" s="336"/>
      <c r="CP244" s="336"/>
      <c r="CQ244" s="336"/>
      <c r="CR244" s="336"/>
      <c r="CS244" s="336"/>
      <c r="CT244" s="336"/>
      <c r="CU244" s="336"/>
      <c r="CV244" s="336"/>
      <c r="CW244" s="336"/>
      <c r="CX244" s="336"/>
      <c r="CY244" s="336"/>
      <c r="CZ244" s="336"/>
      <c r="DA244" s="336"/>
      <c r="DB244" s="336"/>
      <c r="DC244" s="336"/>
      <c r="DD244" s="336"/>
      <c r="DE244" s="336"/>
      <c r="DF244" s="336"/>
      <c r="DG244" s="336"/>
      <c r="DH244" s="336"/>
      <c r="DI244" s="336"/>
      <c r="DJ244" s="336"/>
      <c r="DK244" s="336"/>
      <c r="DL244" s="336"/>
      <c r="DM244" s="336"/>
      <c r="DN244" s="336"/>
      <c r="DO244" s="336"/>
      <c r="DP244" s="336"/>
      <c r="DQ244" s="336"/>
      <c r="DR244" s="336"/>
      <c r="DS244" s="336"/>
      <c r="DT244" s="336"/>
      <c r="DU244" s="336"/>
      <c r="DV244" s="336"/>
      <c r="DW244" s="336"/>
      <c r="DX244" s="336"/>
      <c r="DY244" s="336"/>
      <c r="DZ244" s="336"/>
      <c r="EA244" s="336"/>
      <c r="EB244" s="336"/>
      <c r="EC244" s="336"/>
      <c r="ED244" s="336"/>
      <c r="EE244" s="336"/>
      <c r="EF244" s="336"/>
      <c r="EG244" s="336"/>
      <c r="EH244" s="336"/>
      <c r="EI244" s="336"/>
      <c r="EJ244" s="336"/>
      <c r="EK244" s="336"/>
      <c r="EL244" s="336"/>
      <c r="EM244" s="336"/>
      <c r="EN244" s="336"/>
      <c r="EO244" s="336"/>
      <c r="EP244" s="336"/>
      <c r="EQ244" s="336"/>
      <c r="ER244" s="336"/>
      <c r="ES244" s="336"/>
      <c r="ET244" s="336"/>
      <c r="EU244" s="336"/>
      <c r="EV244" s="336"/>
      <c r="EW244" s="336"/>
      <c r="EX244" s="336"/>
      <c r="EY244" s="336"/>
      <c r="EZ244" s="336"/>
      <c r="FA244" s="336"/>
      <c r="FB244" s="336"/>
      <c r="FC244" s="336"/>
      <c r="FD244" s="336"/>
      <c r="FE244" s="336"/>
      <c r="FF244" s="336"/>
      <c r="FG244" s="336"/>
      <c r="FH244" s="336"/>
      <c r="FI244" s="336"/>
      <c r="FJ244" s="336"/>
      <c r="FK244" s="336"/>
      <c r="FL244" s="336"/>
      <c r="FM244" s="336"/>
      <c r="FN244" s="336"/>
      <c r="FO244" s="336"/>
      <c r="FP244" s="336"/>
      <c r="FQ244" s="336"/>
      <c r="FR244" s="336"/>
      <c r="FS244" s="336"/>
      <c r="FT244" s="336"/>
      <c r="FU244" s="336"/>
      <c r="FV244" s="336"/>
      <c r="FW244" s="336"/>
      <c r="FX244" s="336"/>
      <c r="FY244" s="336"/>
      <c r="FZ244" s="336"/>
      <c r="GA244" s="336"/>
      <c r="GB244" s="336"/>
      <c r="GC244" s="336"/>
      <c r="GD244" s="336"/>
      <c r="GE244" s="336"/>
      <c r="GF244" s="336"/>
      <c r="GG244" s="336"/>
      <c r="GH244" s="336"/>
      <c r="GI244" s="336"/>
      <c r="GJ244" s="336"/>
      <c r="GK244" s="336"/>
      <c r="GL244" s="336"/>
      <c r="GM244" s="336"/>
      <c r="GN244" s="336"/>
      <c r="GO244" s="336"/>
      <c r="GP244" s="336"/>
      <c r="GQ244" s="336"/>
      <c r="GR244" s="336"/>
      <c r="GS244" s="336"/>
      <c r="GT244" s="336"/>
      <c r="GU244" s="336"/>
      <c r="GV244" s="336"/>
      <c r="GW244" s="336"/>
      <c r="GX244" s="336"/>
      <c r="GY244" s="336"/>
      <c r="GZ244" s="336"/>
      <c r="HA244" s="336"/>
      <c r="HB244" s="336"/>
      <c r="HC244" s="336"/>
      <c r="HD244" s="336"/>
      <c r="HE244" s="336"/>
      <c r="HF244" s="336"/>
      <c r="HG244" s="336"/>
      <c r="HH244" s="336"/>
      <c r="HI244" s="336"/>
      <c r="HJ244" s="336"/>
      <c r="HK244" s="336"/>
      <c r="HL244" s="336"/>
      <c r="HM244" s="336"/>
      <c r="HN244" s="336"/>
      <c r="HO244" s="336"/>
      <c r="HP244" s="336"/>
      <c r="HQ244" s="336"/>
      <c r="HR244" s="336"/>
      <c r="HS244" s="336"/>
      <c r="HT244" s="336"/>
      <c r="HU244" s="336"/>
      <c r="HV244" s="336"/>
      <c r="HW244" s="336"/>
      <c r="HX244" s="336"/>
      <c r="HY244" s="336"/>
      <c r="HZ244" s="336"/>
      <c r="IA244" s="336"/>
      <c r="IB244" s="336"/>
      <c r="IC244" s="336"/>
      <c r="ID244" s="336"/>
      <c r="IE244" s="336"/>
      <c r="IF244" s="336"/>
      <c r="IG244" s="336"/>
      <c r="IH244" s="336"/>
      <c r="II244" s="336"/>
      <c r="IJ244" s="336"/>
      <c r="IK244" s="336"/>
      <c r="IL244" s="336"/>
      <c r="IM244" s="336"/>
      <c r="IN244" s="336"/>
      <c r="IO244" s="336"/>
      <c r="IP244" s="336"/>
      <c r="IQ244" s="336"/>
      <c r="IR244" s="336"/>
      <c r="IS244" s="336"/>
      <c r="IT244" s="336"/>
      <c r="IU244" s="336"/>
      <c r="IV244" s="336"/>
    </row>
    <row r="245" spans="1:256" s="337" customFormat="1" ht="15" customHeight="1" thickTop="1" thickBot="1">
      <c r="A245" s="56">
        <f>D245/750.061</f>
        <v>0.99991867328123973</v>
      </c>
      <c r="B245" s="53">
        <f>A245*0.986923</f>
        <v>0.98684273679074097</v>
      </c>
      <c r="C245" s="53">
        <f>A245*10.1979</f>
        <v>10.197070638254756</v>
      </c>
      <c r="D245" s="4">
        <v>750</v>
      </c>
      <c r="E245" s="9">
        <f>A245*14.50377</f>
        <v>14.502590455976247</v>
      </c>
      <c r="F245" s="217"/>
      <c r="G245" s="252"/>
      <c r="H245" s="236"/>
      <c r="I245" s="236"/>
      <c r="J245" s="236"/>
      <c r="K245" s="236"/>
      <c r="L245" s="236"/>
      <c r="M245" s="236"/>
      <c r="N245" s="236"/>
      <c r="O245" s="236"/>
      <c r="P245" s="336"/>
      <c r="Q245" s="336"/>
      <c r="R245" s="336"/>
      <c r="S245" s="336"/>
      <c r="T245" s="336"/>
      <c r="U245" s="336"/>
      <c r="V245" s="336"/>
      <c r="W245" s="336"/>
      <c r="X245" s="336"/>
      <c r="Y245" s="336"/>
      <c r="Z245" s="336"/>
      <c r="AA245" s="336"/>
      <c r="AB245" s="336"/>
      <c r="AC245" s="336"/>
      <c r="AD245" s="336"/>
      <c r="AE245" s="336"/>
      <c r="AF245" s="336"/>
      <c r="AG245" s="336"/>
      <c r="AH245" s="336"/>
      <c r="AI245" s="336"/>
      <c r="AJ245" s="336"/>
      <c r="AK245" s="336"/>
      <c r="AL245" s="336"/>
      <c r="AM245" s="336"/>
      <c r="AN245" s="336"/>
      <c r="AO245" s="336"/>
      <c r="AP245" s="336"/>
      <c r="AQ245" s="336"/>
      <c r="AR245" s="336"/>
      <c r="AS245" s="336"/>
      <c r="AT245" s="336"/>
      <c r="AU245" s="336"/>
      <c r="AV245" s="336"/>
      <c r="AW245" s="336"/>
      <c r="AX245" s="336"/>
      <c r="AY245" s="336"/>
      <c r="AZ245" s="336"/>
      <c r="BA245" s="336"/>
      <c r="BB245" s="336"/>
      <c r="BC245" s="336"/>
      <c r="BD245" s="336"/>
      <c r="BE245" s="336"/>
      <c r="BF245" s="336"/>
      <c r="BG245" s="336"/>
      <c r="BH245" s="336"/>
      <c r="BI245" s="336"/>
      <c r="BJ245" s="336"/>
      <c r="BK245" s="336"/>
      <c r="BL245" s="336"/>
      <c r="BM245" s="336"/>
      <c r="BN245" s="336"/>
      <c r="BO245" s="336"/>
      <c r="BP245" s="336"/>
      <c r="BQ245" s="336"/>
      <c r="BR245" s="336"/>
      <c r="BS245" s="336"/>
      <c r="BT245" s="336"/>
      <c r="BU245" s="336"/>
      <c r="BV245" s="336"/>
      <c r="BW245" s="336"/>
      <c r="BX245" s="336"/>
      <c r="BY245" s="336"/>
      <c r="BZ245" s="336"/>
      <c r="CA245" s="336"/>
      <c r="CB245" s="336"/>
      <c r="CC245" s="336"/>
      <c r="CD245" s="336"/>
      <c r="CE245" s="336"/>
      <c r="CF245" s="336"/>
      <c r="CG245" s="336"/>
      <c r="CH245" s="336"/>
      <c r="CI245" s="336"/>
      <c r="CJ245" s="336"/>
      <c r="CK245" s="336"/>
      <c r="CL245" s="336"/>
      <c r="CM245" s="336"/>
      <c r="CN245" s="336"/>
      <c r="CO245" s="336"/>
      <c r="CP245" s="336"/>
      <c r="CQ245" s="336"/>
      <c r="CR245" s="336"/>
      <c r="CS245" s="336"/>
      <c r="CT245" s="336"/>
      <c r="CU245" s="336"/>
      <c r="CV245" s="336"/>
      <c r="CW245" s="336"/>
      <c r="CX245" s="336"/>
      <c r="CY245" s="336"/>
      <c r="CZ245" s="336"/>
      <c r="DA245" s="336"/>
      <c r="DB245" s="336"/>
      <c r="DC245" s="336"/>
      <c r="DD245" s="336"/>
      <c r="DE245" s="336"/>
      <c r="DF245" s="336"/>
      <c r="DG245" s="336"/>
      <c r="DH245" s="336"/>
      <c r="DI245" s="336"/>
      <c r="DJ245" s="336"/>
      <c r="DK245" s="336"/>
      <c r="DL245" s="336"/>
      <c r="DM245" s="336"/>
      <c r="DN245" s="336"/>
      <c r="DO245" s="336"/>
      <c r="DP245" s="336"/>
      <c r="DQ245" s="336"/>
      <c r="DR245" s="336"/>
      <c r="DS245" s="336"/>
      <c r="DT245" s="336"/>
      <c r="DU245" s="336"/>
      <c r="DV245" s="336"/>
      <c r="DW245" s="336"/>
      <c r="DX245" s="336"/>
      <c r="DY245" s="336"/>
      <c r="DZ245" s="336"/>
      <c r="EA245" s="336"/>
      <c r="EB245" s="336"/>
      <c r="EC245" s="336"/>
      <c r="ED245" s="336"/>
      <c r="EE245" s="336"/>
      <c r="EF245" s="336"/>
      <c r="EG245" s="336"/>
      <c r="EH245" s="336"/>
      <c r="EI245" s="336"/>
      <c r="EJ245" s="336"/>
      <c r="EK245" s="336"/>
      <c r="EL245" s="336"/>
      <c r="EM245" s="336"/>
      <c r="EN245" s="336"/>
      <c r="EO245" s="336"/>
      <c r="EP245" s="336"/>
      <c r="EQ245" s="336"/>
      <c r="ER245" s="336"/>
      <c r="ES245" s="336"/>
      <c r="ET245" s="336"/>
      <c r="EU245" s="336"/>
      <c r="EV245" s="336"/>
      <c r="EW245" s="336"/>
      <c r="EX245" s="336"/>
      <c r="EY245" s="336"/>
      <c r="EZ245" s="336"/>
      <c r="FA245" s="336"/>
      <c r="FB245" s="336"/>
      <c r="FC245" s="336"/>
      <c r="FD245" s="336"/>
      <c r="FE245" s="336"/>
      <c r="FF245" s="336"/>
      <c r="FG245" s="336"/>
      <c r="FH245" s="336"/>
      <c r="FI245" s="336"/>
      <c r="FJ245" s="336"/>
      <c r="FK245" s="336"/>
      <c r="FL245" s="336"/>
      <c r="FM245" s="336"/>
      <c r="FN245" s="336"/>
      <c r="FO245" s="336"/>
      <c r="FP245" s="336"/>
      <c r="FQ245" s="336"/>
      <c r="FR245" s="336"/>
      <c r="FS245" s="336"/>
      <c r="FT245" s="336"/>
      <c r="FU245" s="336"/>
      <c r="FV245" s="336"/>
      <c r="FW245" s="336"/>
      <c r="FX245" s="336"/>
      <c r="FY245" s="336"/>
      <c r="FZ245" s="336"/>
      <c r="GA245" s="336"/>
      <c r="GB245" s="336"/>
      <c r="GC245" s="336"/>
      <c r="GD245" s="336"/>
      <c r="GE245" s="336"/>
      <c r="GF245" s="336"/>
      <c r="GG245" s="336"/>
      <c r="GH245" s="336"/>
      <c r="GI245" s="336"/>
      <c r="GJ245" s="336"/>
      <c r="GK245" s="336"/>
      <c r="GL245" s="336"/>
      <c r="GM245" s="336"/>
      <c r="GN245" s="336"/>
      <c r="GO245" s="336"/>
      <c r="GP245" s="336"/>
      <c r="GQ245" s="336"/>
      <c r="GR245" s="336"/>
      <c r="GS245" s="336"/>
      <c r="GT245" s="336"/>
      <c r="GU245" s="336"/>
      <c r="GV245" s="336"/>
      <c r="GW245" s="336"/>
      <c r="GX245" s="336"/>
      <c r="GY245" s="336"/>
      <c r="GZ245" s="336"/>
      <c r="HA245" s="336"/>
      <c r="HB245" s="336"/>
      <c r="HC245" s="336"/>
      <c r="HD245" s="336"/>
      <c r="HE245" s="336"/>
      <c r="HF245" s="336"/>
      <c r="HG245" s="336"/>
      <c r="HH245" s="336"/>
      <c r="HI245" s="336"/>
      <c r="HJ245" s="336"/>
      <c r="HK245" s="336"/>
      <c r="HL245" s="336"/>
      <c r="HM245" s="336"/>
      <c r="HN245" s="336"/>
      <c r="HO245" s="336"/>
      <c r="HP245" s="336"/>
      <c r="HQ245" s="336"/>
      <c r="HR245" s="336"/>
      <c r="HS245" s="336"/>
      <c r="HT245" s="336"/>
      <c r="HU245" s="336"/>
      <c r="HV245" s="336"/>
      <c r="HW245" s="336"/>
      <c r="HX245" s="336"/>
      <c r="HY245" s="336"/>
      <c r="HZ245" s="336"/>
      <c r="IA245" s="336"/>
      <c r="IB245" s="336"/>
      <c r="IC245" s="336"/>
      <c r="ID245" s="336"/>
      <c r="IE245" s="336"/>
      <c r="IF245" s="336"/>
      <c r="IG245" s="336"/>
      <c r="IH245" s="336"/>
      <c r="II245" s="336"/>
      <c r="IJ245" s="336"/>
      <c r="IK245" s="336"/>
      <c r="IL245" s="336"/>
      <c r="IM245" s="336"/>
      <c r="IN245" s="336"/>
      <c r="IO245" s="336"/>
      <c r="IP245" s="336"/>
      <c r="IQ245" s="336"/>
      <c r="IR245" s="336"/>
      <c r="IS245" s="336"/>
      <c r="IT245" s="336"/>
      <c r="IU245" s="336"/>
      <c r="IV245" s="336"/>
    </row>
    <row r="246" spans="1:256" s="337" customFormat="1" ht="15" customHeight="1" thickTop="1" thickBot="1">
      <c r="A246" s="56">
        <f>E246/14.50377</f>
        <v>6.8947590867753696</v>
      </c>
      <c r="B246" s="53">
        <f>A246*0.986923</f>
        <v>6.8045963221976082</v>
      </c>
      <c r="C246" s="53">
        <f>A246*10.1979</f>
        <v>70.312063691026552</v>
      </c>
      <c r="D246" s="59">
        <f>A246*750.061</f>
        <v>5171.489895385821</v>
      </c>
      <c r="E246" s="17">
        <v>100</v>
      </c>
      <c r="F246" s="217"/>
      <c r="G246" s="252"/>
      <c r="H246" s="236"/>
      <c r="I246" s="236"/>
      <c r="J246" s="236"/>
      <c r="K246" s="236"/>
      <c r="L246" s="236"/>
      <c r="M246" s="236"/>
      <c r="N246" s="236"/>
      <c r="O246" s="236"/>
      <c r="P246" s="336"/>
      <c r="Q246" s="336"/>
      <c r="R246" s="336"/>
      <c r="S246" s="336"/>
      <c r="T246" s="336"/>
      <c r="U246" s="336"/>
      <c r="V246" s="336"/>
      <c r="W246" s="336"/>
      <c r="X246" s="336"/>
      <c r="Y246" s="336"/>
      <c r="Z246" s="336"/>
      <c r="AA246" s="336"/>
      <c r="AB246" s="336"/>
      <c r="AC246" s="336"/>
      <c r="AD246" s="336"/>
      <c r="AE246" s="336"/>
      <c r="AF246" s="336"/>
      <c r="AG246" s="336"/>
      <c r="AH246" s="336"/>
      <c r="AI246" s="336"/>
      <c r="AJ246" s="336"/>
      <c r="AK246" s="336"/>
      <c r="AL246" s="336"/>
      <c r="AM246" s="336"/>
      <c r="AN246" s="336"/>
      <c r="AO246" s="336"/>
      <c r="AP246" s="336"/>
      <c r="AQ246" s="336"/>
      <c r="AR246" s="336"/>
      <c r="AS246" s="336"/>
      <c r="AT246" s="336"/>
      <c r="AU246" s="336"/>
      <c r="AV246" s="336"/>
      <c r="AW246" s="336"/>
      <c r="AX246" s="336"/>
      <c r="AY246" s="336"/>
      <c r="AZ246" s="336"/>
      <c r="BA246" s="336"/>
      <c r="BB246" s="336"/>
      <c r="BC246" s="336"/>
      <c r="BD246" s="336"/>
      <c r="BE246" s="336"/>
      <c r="BF246" s="336"/>
      <c r="BG246" s="336"/>
      <c r="BH246" s="336"/>
      <c r="BI246" s="336"/>
      <c r="BJ246" s="336"/>
      <c r="BK246" s="336"/>
      <c r="BL246" s="336"/>
      <c r="BM246" s="336"/>
      <c r="BN246" s="336"/>
      <c r="BO246" s="336"/>
      <c r="BP246" s="336"/>
      <c r="BQ246" s="336"/>
      <c r="BR246" s="336"/>
      <c r="BS246" s="336"/>
      <c r="BT246" s="336"/>
      <c r="BU246" s="336"/>
      <c r="BV246" s="336"/>
      <c r="BW246" s="336"/>
      <c r="BX246" s="336"/>
      <c r="BY246" s="336"/>
      <c r="BZ246" s="336"/>
      <c r="CA246" s="336"/>
      <c r="CB246" s="336"/>
      <c r="CC246" s="336"/>
      <c r="CD246" s="336"/>
      <c r="CE246" s="336"/>
      <c r="CF246" s="336"/>
      <c r="CG246" s="336"/>
      <c r="CH246" s="336"/>
      <c r="CI246" s="336"/>
      <c r="CJ246" s="336"/>
      <c r="CK246" s="336"/>
      <c r="CL246" s="336"/>
      <c r="CM246" s="336"/>
      <c r="CN246" s="336"/>
      <c r="CO246" s="336"/>
      <c r="CP246" s="336"/>
      <c r="CQ246" s="336"/>
      <c r="CR246" s="336"/>
      <c r="CS246" s="336"/>
      <c r="CT246" s="336"/>
      <c r="CU246" s="336"/>
      <c r="CV246" s="336"/>
      <c r="CW246" s="336"/>
      <c r="CX246" s="336"/>
      <c r="CY246" s="336"/>
      <c r="CZ246" s="336"/>
      <c r="DA246" s="336"/>
      <c r="DB246" s="336"/>
      <c r="DC246" s="336"/>
      <c r="DD246" s="336"/>
      <c r="DE246" s="336"/>
      <c r="DF246" s="336"/>
      <c r="DG246" s="336"/>
      <c r="DH246" s="336"/>
      <c r="DI246" s="336"/>
      <c r="DJ246" s="336"/>
      <c r="DK246" s="336"/>
      <c r="DL246" s="336"/>
      <c r="DM246" s="336"/>
      <c r="DN246" s="336"/>
      <c r="DO246" s="336"/>
      <c r="DP246" s="336"/>
      <c r="DQ246" s="336"/>
      <c r="DR246" s="336"/>
      <c r="DS246" s="336"/>
      <c r="DT246" s="336"/>
      <c r="DU246" s="336"/>
      <c r="DV246" s="336"/>
      <c r="DW246" s="336"/>
      <c r="DX246" s="336"/>
      <c r="DY246" s="336"/>
      <c r="DZ246" s="336"/>
      <c r="EA246" s="336"/>
      <c r="EB246" s="336"/>
      <c r="EC246" s="336"/>
      <c r="ED246" s="336"/>
      <c r="EE246" s="336"/>
      <c r="EF246" s="336"/>
      <c r="EG246" s="336"/>
      <c r="EH246" s="336"/>
      <c r="EI246" s="336"/>
      <c r="EJ246" s="336"/>
      <c r="EK246" s="336"/>
      <c r="EL246" s="336"/>
      <c r="EM246" s="336"/>
      <c r="EN246" s="336"/>
      <c r="EO246" s="336"/>
      <c r="EP246" s="336"/>
      <c r="EQ246" s="336"/>
      <c r="ER246" s="336"/>
      <c r="ES246" s="336"/>
      <c r="ET246" s="336"/>
      <c r="EU246" s="336"/>
      <c r="EV246" s="336"/>
      <c r="EW246" s="336"/>
      <c r="EX246" s="336"/>
      <c r="EY246" s="336"/>
      <c r="EZ246" s="336"/>
      <c r="FA246" s="336"/>
      <c r="FB246" s="336"/>
      <c r="FC246" s="336"/>
      <c r="FD246" s="336"/>
      <c r="FE246" s="336"/>
      <c r="FF246" s="336"/>
      <c r="FG246" s="336"/>
      <c r="FH246" s="336"/>
      <c r="FI246" s="336"/>
      <c r="FJ246" s="336"/>
      <c r="FK246" s="336"/>
      <c r="FL246" s="336"/>
      <c r="FM246" s="336"/>
      <c r="FN246" s="336"/>
      <c r="FO246" s="336"/>
      <c r="FP246" s="336"/>
      <c r="FQ246" s="336"/>
      <c r="FR246" s="336"/>
      <c r="FS246" s="336"/>
      <c r="FT246" s="336"/>
      <c r="FU246" s="336"/>
      <c r="FV246" s="336"/>
      <c r="FW246" s="336"/>
      <c r="FX246" s="336"/>
      <c r="FY246" s="336"/>
      <c r="FZ246" s="336"/>
      <c r="GA246" s="336"/>
      <c r="GB246" s="336"/>
      <c r="GC246" s="336"/>
      <c r="GD246" s="336"/>
      <c r="GE246" s="336"/>
      <c r="GF246" s="336"/>
      <c r="GG246" s="336"/>
      <c r="GH246" s="336"/>
      <c r="GI246" s="336"/>
      <c r="GJ246" s="336"/>
      <c r="GK246" s="336"/>
      <c r="GL246" s="336"/>
      <c r="GM246" s="336"/>
      <c r="GN246" s="336"/>
      <c r="GO246" s="336"/>
      <c r="GP246" s="336"/>
      <c r="GQ246" s="336"/>
      <c r="GR246" s="336"/>
      <c r="GS246" s="336"/>
      <c r="GT246" s="336"/>
      <c r="GU246" s="336"/>
      <c r="GV246" s="336"/>
      <c r="GW246" s="336"/>
      <c r="GX246" s="336"/>
      <c r="GY246" s="336"/>
      <c r="GZ246" s="336"/>
      <c r="HA246" s="336"/>
      <c r="HB246" s="336"/>
      <c r="HC246" s="336"/>
      <c r="HD246" s="336"/>
      <c r="HE246" s="336"/>
      <c r="HF246" s="336"/>
      <c r="HG246" s="336"/>
      <c r="HH246" s="336"/>
      <c r="HI246" s="336"/>
      <c r="HJ246" s="336"/>
      <c r="HK246" s="336"/>
      <c r="HL246" s="336"/>
      <c r="HM246" s="336"/>
      <c r="HN246" s="336"/>
      <c r="HO246" s="336"/>
      <c r="HP246" s="336"/>
      <c r="HQ246" s="336"/>
      <c r="HR246" s="336"/>
      <c r="HS246" s="336"/>
      <c r="HT246" s="336"/>
      <c r="HU246" s="336"/>
      <c r="HV246" s="336"/>
      <c r="HW246" s="336"/>
      <c r="HX246" s="336"/>
      <c r="HY246" s="336"/>
      <c r="HZ246" s="336"/>
      <c r="IA246" s="336"/>
      <c r="IB246" s="336"/>
      <c r="IC246" s="336"/>
      <c r="ID246" s="336"/>
      <c r="IE246" s="336"/>
      <c r="IF246" s="336"/>
      <c r="IG246" s="336"/>
      <c r="IH246" s="336"/>
      <c r="II246" s="336"/>
      <c r="IJ246" s="336"/>
      <c r="IK246" s="336"/>
      <c r="IL246" s="336"/>
      <c r="IM246" s="336"/>
      <c r="IN246" s="336"/>
      <c r="IO246" s="336"/>
      <c r="IP246" s="336"/>
      <c r="IQ246" s="336"/>
      <c r="IR246" s="336"/>
      <c r="IS246" s="336"/>
      <c r="IT246" s="336"/>
      <c r="IU246" s="336"/>
      <c r="IV246" s="336"/>
    </row>
    <row r="247" spans="1:256" s="337" customFormat="1" ht="15" customHeight="1" thickTop="1" thickBot="1">
      <c r="A247" s="274"/>
      <c r="B247" s="274"/>
      <c r="C247" s="228"/>
      <c r="D247" s="228"/>
      <c r="E247" s="257"/>
      <c r="F247" s="257"/>
      <c r="G247" s="252"/>
      <c r="H247" s="236"/>
      <c r="I247" s="236"/>
      <c r="J247" s="236"/>
      <c r="K247" s="236"/>
      <c r="L247" s="236"/>
      <c r="M247" s="236"/>
      <c r="N247" s="236"/>
      <c r="O247" s="236"/>
      <c r="P247" s="336"/>
      <c r="Q247" s="336"/>
      <c r="R247" s="336"/>
      <c r="S247" s="336"/>
      <c r="T247" s="336"/>
      <c r="U247" s="336"/>
      <c r="V247" s="336"/>
      <c r="W247" s="336"/>
      <c r="X247" s="336"/>
      <c r="Y247" s="336"/>
      <c r="Z247" s="336"/>
      <c r="AA247" s="336"/>
      <c r="AB247" s="336"/>
      <c r="AC247" s="336"/>
      <c r="AD247" s="336"/>
      <c r="AE247" s="336"/>
      <c r="AF247" s="336"/>
      <c r="AG247" s="336"/>
      <c r="AH247" s="336"/>
      <c r="AI247" s="336"/>
      <c r="AJ247" s="336"/>
      <c r="AK247" s="336"/>
      <c r="AL247" s="336"/>
      <c r="AM247" s="336"/>
      <c r="AN247" s="336"/>
      <c r="AO247" s="336"/>
      <c r="AP247" s="336"/>
      <c r="AQ247" s="336"/>
      <c r="AR247" s="336"/>
      <c r="AS247" s="336"/>
      <c r="AT247" s="336"/>
      <c r="AU247" s="336"/>
      <c r="AV247" s="336"/>
      <c r="AW247" s="336"/>
      <c r="AX247" s="336"/>
      <c r="AY247" s="336"/>
      <c r="AZ247" s="336"/>
      <c r="BA247" s="336"/>
      <c r="BB247" s="336"/>
      <c r="BC247" s="336"/>
      <c r="BD247" s="336"/>
      <c r="BE247" s="336"/>
      <c r="BF247" s="336"/>
      <c r="BG247" s="336"/>
      <c r="BH247" s="336"/>
      <c r="BI247" s="336"/>
      <c r="BJ247" s="336"/>
      <c r="BK247" s="336"/>
      <c r="BL247" s="336"/>
      <c r="BM247" s="336"/>
      <c r="BN247" s="336"/>
      <c r="BO247" s="336"/>
      <c r="BP247" s="336"/>
      <c r="BQ247" s="336"/>
      <c r="BR247" s="336"/>
      <c r="BS247" s="336"/>
      <c r="BT247" s="336"/>
      <c r="BU247" s="336"/>
      <c r="BV247" s="336"/>
      <c r="BW247" s="336"/>
      <c r="BX247" s="336"/>
      <c r="BY247" s="336"/>
      <c r="BZ247" s="336"/>
      <c r="CA247" s="336"/>
      <c r="CB247" s="336"/>
      <c r="CC247" s="336"/>
      <c r="CD247" s="336"/>
      <c r="CE247" s="336"/>
      <c r="CF247" s="336"/>
      <c r="CG247" s="336"/>
      <c r="CH247" s="336"/>
      <c r="CI247" s="336"/>
      <c r="CJ247" s="336"/>
      <c r="CK247" s="336"/>
      <c r="CL247" s="336"/>
      <c r="CM247" s="336"/>
      <c r="CN247" s="336"/>
      <c r="CO247" s="336"/>
      <c r="CP247" s="336"/>
      <c r="CQ247" s="336"/>
      <c r="CR247" s="336"/>
      <c r="CS247" s="336"/>
      <c r="CT247" s="336"/>
      <c r="CU247" s="336"/>
      <c r="CV247" s="336"/>
      <c r="CW247" s="336"/>
      <c r="CX247" s="336"/>
      <c r="CY247" s="336"/>
      <c r="CZ247" s="336"/>
      <c r="DA247" s="336"/>
      <c r="DB247" s="336"/>
      <c r="DC247" s="336"/>
      <c r="DD247" s="336"/>
      <c r="DE247" s="336"/>
      <c r="DF247" s="336"/>
      <c r="DG247" s="336"/>
      <c r="DH247" s="336"/>
      <c r="DI247" s="336"/>
      <c r="DJ247" s="336"/>
      <c r="DK247" s="336"/>
      <c r="DL247" s="336"/>
      <c r="DM247" s="336"/>
      <c r="DN247" s="336"/>
      <c r="DO247" s="336"/>
      <c r="DP247" s="336"/>
      <c r="DQ247" s="336"/>
      <c r="DR247" s="336"/>
      <c r="DS247" s="336"/>
      <c r="DT247" s="336"/>
      <c r="DU247" s="336"/>
      <c r="DV247" s="336"/>
      <c r="DW247" s="336"/>
      <c r="DX247" s="336"/>
      <c r="DY247" s="336"/>
      <c r="DZ247" s="336"/>
      <c r="EA247" s="336"/>
      <c r="EB247" s="336"/>
      <c r="EC247" s="336"/>
      <c r="ED247" s="336"/>
      <c r="EE247" s="336"/>
      <c r="EF247" s="336"/>
      <c r="EG247" s="336"/>
      <c r="EH247" s="336"/>
      <c r="EI247" s="336"/>
      <c r="EJ247" s="336"/>
      <c r="EK247" s="336"/>
      <c r="EL247" s="336"/>
      <c r="EM247" s="336"/>
      <c r="EN247" s="336"/>
      <c r="EO247" s="336"/>
      <c r="EP247" s="336"/>
      <c r="EQ247" s="336"/>
      <c r="ER247" s="336"/>
      <c r="ES247" s="336"/>
      <c r="ET247" s="336"/>
      <c r="EU247" s="336"/>
      <c r="EV247" s="336"/>
      <c r="EW247" s="336"/>
      <c r="EX247" s="336"/>
      <c r="EY247" s="336"/>
      <c r="EZ247" s="336"/>
      <c r="FA247" s="336"/>
      <c r="FB247" s="336"/>
      <c r="FC247" s="336"/>
      <c r="FD247" s="336"/>
      <c r="FE247" s="336"/>
      <c r="FF247" s="336"/>
      <c r="FG247" s="336"/>
      <c r="FH247" s="336"/>
      <c r="FI247" s="336"/>
      <c r="FJ247" s="336"/>
      <c r="FK247" s="336"/>
      <c r="FL247" s="336"/>
      <c r="FM247" s="336"/>
      <c r="FN247" s="336"/>
      <c r="FO247" s="336"/>
      <c r="FP247" s="336"/>
      <c r="FQ247" s="336"/>
      <c r="FR247" s="336"/>
      <c r="FS247" s="336"/>
      <c r="FT247" s="336"/>
      <c r="FU247" s="336"/>
      <c r="FV247" s="336"/>
      <c r="FW247" s="336"/>
      <c r="FX247" s="336"/>
      <c r="FY247" s="336"/>
      <c r="FZ247" s="336"/>
      <c r="GA247" s="336"/>
      <c r="GB247" s="336"/>
      <c r="GC247" s="336"/>
      <c r="GD247" s="336"/>
      <c r="GE247" s="336"/>
      <c r="GF247" s="336"/>
      <c r="GG247" s="336"/>
      <c r="GH247" s="336"/>
      <c r="GI247" s="336"/>
      <c r="GJ247" s="336"/>
      <c r="GK247" s="336"/>
      <c r="GL247" s="336"/>
      <c r="GM247" s="336"/>
      <c r="GN247" s="336"/>
      <c r="GO247" s="336"/>
      <c r="GP247" s="336"/>
      <c r="GQ247" s="336"/>
      <c r="GR247" s="336"/>
      <c r="GS247" s="336"/>
      <c r="GT247" s="336"/>
      <c r="GU247" s="336"/>
      <c r="GV247" s="336"/>
      <c r="GW247" s="336"/>
      <c r="GX247" s="336"/>
      <c r="GY247" s="336"/>
      <c r="GZ247" s="336"/>
      <c r="HA247" s="336"/>
      <c r="HB247" s="336"/>
      <c r="HC247" s="336"/>
      <c r="HD247" s="336"/>
      <c r="HE247" s="336"/>
      <c r="HF247" s="336"/>
      <c r="HG247" s="336"/>
      <c r="HH247" s="336"/>
      <c r="HI247" s="336"/>
      <c r="HJ247" s="336"/>
      <c r="HK247" s="336"/>
      <c r="HL247" s="336"/>
      <c r="HM247" s="336"/>
      <c r="HN247" s="336"/>
      <c r="HO247" s="336"/>
      <c r="HP247" s="336"/>
      <c r="HQ247" s="336"/>
      <c r="HR247" s="336"/>
      <c r="HS247" s="336"/>
      <c r="HT247" s="336"/>
      <c r="HU247" s="336"/>
      <c r="HV247" s="336"/>
      <c r="HW247" s="336"/>
      <c r="HX247" s="336"/>
      <c r="HY247" s="336"/>
      <c r="HZ247" s="336"/>
      <c r="IA247" s="336"/>
      <c r="IB247" s="336"/>
      <c r="IC247" s="336"/>
      <c r="ID247" s="336"/>
      <c r="IE247" s="336"/>
      <c r="IF247" s="336"/>
      <c r="IG247" s="336"/>
      <c r="IH247" s="336"/>
      <c r="II247" s="336"/>
      <c r="IJ247" s="336"/>
      <c r="IK247" s="336"/>
      <c r="IL247" s="336"/>
      <c r="IM247" s="336"/>
      <c r="IN247" s="336"/>
      <c r="IO247" s="336"/>
      <c r="IP247" s="336"/>
      <c r="IQ247" s="336"/>
      <c r="IR247" s="336"/>
      <c r="IS247" s="336"/>
      <c r="IT247" s="336"/>
      <c r="IU247" s="336"/>
      <c r="IV247" s="336"/>
    </row>
    <row r="248" spans="1:256" ht="15" customHeight="1" thickTop="1">
      <c r="A248" s="146" t="s">
        <v>266</v>
      </c>
      <c r="B248" s="111"/>
      <c r="C248" s="111"/>
      <c r="D248" s="141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</row>
    <row r="249" spans="1:256" ht="15" customHeight="1" thickBot="1">
      <c r="A249" s="113" t="s">
        <v>33</v>
      </c>
      <c r="B249" s="114" t="s">
        <v>18</v>
      </c>
      <c r="C249" s="114" t="s">
        <v>19</v>
      </c>
      <c r="D249" s="117" t="s">
        <v>20</v>
      </c>
      <c r="E249" s="217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</row>
    <row r="250" spans="1:256" ht="15" customHeight="1" thickTop="1" thickBot="1">
      <c r="A250" s="62">
        <v>75</v>
      </c>
      <c r="B250" s="59">
        <f>A250/0.746</f>
        <v>100.53619302949062</v>
      </c>
      <c r="C250" s="58">
        <f>+A250*860</f>
        <v>64500</v>
      </c>
      <c r="D250" s="63">
        <f t="shared" ref="D250:D251" si="22">A250*3600</f>
        <v>270000</v>
      </c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</row>
    <row r="251" spans="1:256" ht="15" customHeight="1" thickTop="1" thickBot="1">
      <c r="A251" s="56">
        <f>B251*0.746</f>
        <v>0.746</v>
      </c>
      <c r="B251" s="49">
        <v>1</v>
      </c>
      <c r="C251" s="58">
        <f>+A251*860</f>
        <v>641.55999999999995</v>
      </c>
      <c r="D251" s="63">
        <f t="shared" si="22"/>
        <v>2685.6</v>
      </c>
      <c r="E251" s="217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</row>
    <row r="252" spans="1:256" ht="15" customHeight="1" thickTop="1" thickBot="1">
      <c r="A252" s="56">
        <f>+C252/860</f>
        <v>1.1627906976744187</v>
      </c>
      <c r="B252" s="59">
        <f>A252/0.746</f>
        <v>1.5587006671238857</v>
      </c>
      <c r="C252" s="12">
        <v>1000</v>
      </c>
      <c r="D252" s="63">
        <f>A252*3600</f>
        <v>4186.0465116279074</v>
      </c>
      <c r="E252" s="217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</row>
    <row r="253" spans="1:256" ht="15" customHeight="1" thickTop="1" thickBot="1">
      <c r="A253" s="56">
        <f>+D253/3600</f>
        <v>0.27777777777777779</v>
      </c>
      <c r="B253" s="59">
        <f>A253/0.746</f>
        <v>0.37235627047959491</v>
      </c>
      <c r="C253" s="58">
        <f>+A253*860</f>
        <v>238.88888888888889</v>
      </c>
      <c r="D253" s="64">
        <v>1000</v>
      </c>
      <c r="E253" s="217"/>
      <c r="F253" s="217"/>
      <c r="G253" s="217"/>
      <c r="H253" s="217"/>
      <c r="I253" s="217"/>
      <c r="J253" s="217"/>
      <c r="K253" s="217"/>
      <c r="L253" s="217"/>
      <c r="M253" s="217"/>
      <c r="N253" s="217"/>
      <c r="O253" s="217"/>
    </row>
    <row r="254" spans="1:256" s="337" customFormat="1" ht="15" customHeight="1" thickTop="1" thickBot="1">
      <c r="A254" s="224"/>
      <c r="B254" s="224"/>
      <c r="C254" s="234"/>
      <c r="D254" s="248"/>
      <c r="E254" s="236"/>
      <c r="F254" s="236"/>
      <c r="G254" s="236"/>
      <c r="H254" s="236"/>
      <c r="I254" s="236"/>
      <c r="J254" s="236"/>
      <c r="K254" s="236"/>
      <c r="L254" s="236"/>
      <c r="M254" s="236"/>
      <c r="N254" s="236"/>
      <c r="O254" s="236"/>
      <c r="P254" s="336"/>
      <c r="Q254" s="336"/>
      <c r="R254" s="336"/>
      <c r="S254" s="336"/>
      <c r="T254" s="336"/>
      <c r="U254" s="336"/>
      <c r="V254" s="336"/>
      <c r="W254" s="336"/>
      <c r="X254" s="336"/>
      <c r="Y254" s="336"/>
      <c r="Z254" s="336"/>
      <c r="AA254" s="336"/>
      <c r="AB254" s="336"/>
      <c r="AC254" s="336"/>
      <c r="AD254" s="336"/>
      <c r="AE254" s="336"/>
      <c r="AF254" s="336"/>
      <c r="AG254" s="336"/>
      <c r="AH254" s="336"/>
      <c r="AI254" s="336"/>
      <c r="AJ254" s="336"/>
      <c r="AK254" s="336"/>
      <c r="AL254" s="336"/>
      <c r="AM254" s="336"/>
      <c r="AN254" s="336"/>
      <c r="AO254" s="336"/>
      <c r="AP254" s="336"/>
      <c r="AQ254" s="336"/>
      <c r="AR254" s="336"/>
      <c r="AS254" s="336"/>
      <c r="AT254" s="336"/>
      <c r="AU254" s="336"/>
      <c r="AV254" s="336"/>
      <c r="AW254" s="336"/>
      <c r="AX254" s="336"/>
      <c r="AY254" s="336"/>
      <c r="AZ254" s="336"/>
      <c r="BA254" s="336"/>
      <c r="BB254" s="336"/>
      <c r="BC254" s="336"/>
      <c r="BD254" s="336"/>
      <c r="BE254" s="336"/>
      <c r="BF254" s="336"/>
      <c r="BG254" s="336"/>
      <c r="BH254" s="336"/>
      <c r="BI254" s="336"/>
      <c r="BJ254" s="336"/>
      <c r="BK254" s="336"/>
      <c r="BL254" s="336"/>
      <c r="BM254" s="336"/>
      <c r="BN254" s="336"/>
      <c r="BO254" s="336"/>
      <c r="BP254" s="336"/>
      <c r="BQ254" s="336"/>
      <c r="BR254" s="336"/>
      <c r="BS254" s="336"/>
      <c r="BT254" s="336"/>
      <c r="BU254" s="336"/>
      <c r="BV254" s="336"/>
      <c r="BW254" s="336"/>
      <c r="BX254" s="336"/>
      <c r="BY254" s="336"/>
      <c r="BZ254" s="336"/>
      <c r="CA254" s="336"/>
      <c r="CB254" s="336"/>
      <c r="CC254" s="336"/>
      <c r="CD254" s="336"/>
      <c r="CE254" s="336"/>
      <c r="CF254" s="336"/>
      <c r="CG254" s="336"/>
      <c r="CH254" s="336"/>
      <c r="CI254" s="336"/>
      <c r="CJ254" s="336"/>
      <c r="CK254" s="336"/>
      <c r="CL254" s="336"/>
      <c r="CM254" s="336"/>
      <c r="CN254" s="336"/>
      <c r="CO254" s="336"/>
      <c r="CP254" s="336"/>
      <c r="CQ254" s="336"/>
      <c r="CR254" s="336"/>
      <c r="CS254" s="336"/>
      <c r="CT254" s="336"/>
      <c r="CU254" s="336"/>
      <c r="CV254" s="336"/>
      <c r="CW254" s="336"/>
      <c r="CX254" s="336"/>
      <c r="CY254" s="336"/>
      <c r="CZ254" s="336"/>
      <c r="DA254" s="336"/>
      <c r="DB254" s="336"/>
      <c r="DC254" s="336"/>
      <c r="DD254" s="336"/>
      <c r="DE254" s="336"/>
      <c r="DF254" s="336"/>
      <c r="DG254" s="336"/>
      <c r="DH254" s="336"/>
      <c r="DI254" s="336"/>
      <c r="DJ254" s="336"/>
      <c r="DK254" s="336"/>
      <c r="DL254" s="336"/>
      <c r="DM254" s="336"/>
      <c r="DN254" s="336"/>
      <c r="DO254" s="336"/>
      <c r="DP254" s="336"/>
      <c r="DQ254" s="336"/>
      <c r="DR254" s="336"/>
      <c r="DS254" s="336"/>
      <c r="DT254" s="336"/>
      <c r="DU254" s="336"/>
      <c r="DV254" s="336"/>
      <c r="DW254" s="336"/>
      <c r="DX254" s="336"/>
      <c r="DY254" s="336"/>
      <c r="DZ254" s="336"/>
      <c r="EA254" s="336"/>
      <c r="EB254" s="336"/>
      <c r="EC254" s="336"/>
      <c r="ED254" s="336"/>
      <c r="EE254" s="336"/>
      <c r="EF254" s="336"/>
      <c r="EG254" s="336"/>
      <c r="EH254" s="336"/>
      <c r="EI254" s="336"/>
      <c r="EJ254" s="336"/>
      <c r="EK254" s="336"/>
      <c r="EL254" s="336"/>
      <c r="EM254" s="336"/>
      <c r="EN254" s="336"/>
      <c r="EO254" s="336"/>
      <c r="EP254" s="336"/>
      <c r="EQ254" s="336"/>
      <c r="ER254" s="336"/>
      <c r="ES254" s="336"/>
      <c r="ET254" s="336"/>
      <c r="EU254" s="336"/>
      <c r="EV254" s="336"/>
      <c r="EW254" s="336"/>
      <c r="EX254" s="336"/>
      <c r="EY254" s="336"/>
      <c r="EZ254" s="336"/>
      <c r="FA254" s="336"/>
      <c r="FB254" s="336"/>
      <c r="FC254" s="336"/>
      <c r="FD254" s="336"/>
      <c r="FE254" s="336"/>
      <c r="FF254" s="336"/>
      <c r="FG254" s="336"/>
      <c r="FH254" s="336"/>
      <c r="FI254" s="336"/>
      <c r="FJ254" s="336"/>
      <c r="FK254" s="336"/>
      <c r="FL254" s="336"/>
      <c r="FM254" s="336"/>
      <c r="FN254" s="336"/>
      <c r="FO254" s="336"/>
      <c r="FP254" s="336"/>
      <c r="FQ254" s="336"/>
      <c r="FR254" s="336"/>
      <c r="FS254" s="336"/>
      <c r="FT254" s="336"/>
      <c r="FU254" s="336"/>
      <c r="FV254" s="336"/>
      <c r="FW254" s="336"/>
      <c r="FX254" s="336"/>
      <c r="FY254" s="336"/>
      <c r="FZ254" s="336"/>
      <c r="GA254" s="336"/>
      <c r="GB254" s="336"/>
      <c r="GC254" s="336"/>
      <c r="GD254" s="336"/>
      <c r="GE254" s="336"/>
      <c r="GF254" s="336"/>
      <c r="GG254" s="336"/>
      <c r="GH254" s="336"/>
      <c r="GI254" s="336"/>
      <c r="GJ254" s="336"/>
      <c r="GK254" s="336"/>
      <c r="GL254" s="336"/>
      <c r="GM254" s="336"/>
      <c r="GN254" s="336"/>
      <c r="GO254" s="336"/>
      <c r="GP254" s="336"/>
      <c r="GQ254" s="336"/>
      <c r="GR254" s="336"/>
      <c r="GS254" s="336"/>
      <c r="GT254" s="336"/>
      <c r="GU254" s="336"/>
      <c r="GV254" s="336"/>
      <c r="GW254" s="336"/>
      <c r="GX254" s="336"/>
      <c r="GY254" s="336"/>
      <c r="GZ254" s="336"/>
      <c r="HA254" s="336"/>
      <c r="HB254" s="336"/>
      <c r="HC254" s="336"/>
      <c r="HD254" s="336"/>
      <c r="HE254" s="336"/>
      <c r="HF254" s="336"/>
      <c r="HG254" s="336"/>
      <c r="HH254" s="336"/>
      <c r="HI254" s="336"/>
      <c r="HJ254" s="336"/>
      <c r="HK254" s="336"/>
      <c r="HL254" s="336"/>
      <c r="HM254" s="336"/>
      <c r="HN254" s="336"/>
      <c r="HO254" s="336"/>
      <c r="HP254" s="336"/>
      <c r="HQ254" s="336"/>
      <c r="HR254" s="336"/>
      <c r="HS254" s="336"/>
      <c r="HT254" s="336"/>
      <c r="HU254" s="336"/>
      <c r="HV254" s="336"/>
      <c r="HW254" s="336"/>
      <c r="HX254" s="336"/>
      <c r="HY254" s="336"/>
      <c r="HZ254" s="336"/>
      <c r="IA254" s="336"/>
      <c r="IB254" s="336"/>
      <c r="IC254" s="336"/>
      <c r="ID254" s="336"/>
      <c r="IE254" s="336"/>
      <c r="IF254" s="336"/>
      <c r="IG254" s="336"/>
      <c r="IH254" s="336"/>
      <c r="II254" s="336"/>
      <c r="IJ254" s="336"/>
      <c r="IK254" s="336"/>
      <c r="IL254" s="336"/>
      <c r="IM254" s="336"/>
      <c r="IN254" s="336"/>
      <c r="IO254" s="336"/>
      <c r="IP254" s="336"/>
      <c r="IQ254" s="336"/>
      <c r="IR254" s="336"/>
      <c r="IS254" s="336"/>
      <c r="IT254" s="336"/>
      <c r="IU254" s="336"/>
      <c r="IV254" s="336"/>
    </row>
    <row r="255" spans="1:256" ht="15" customHeight="1" thickTop="1">
      <c r="A255" s="135" t="s">
        <v>265</v>
      </c>
      <c r="B255" s="140"/>
      <c r="C255" s="110"/>
      <c r="D255" s="141"/>
      <c r="E255" s="217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</row>
    <row r="256" spans="1:256" ht="15" customHeight="1" thickBot="1">
      <c r="A256" s="113" t="s">
        <v>51</v>
      </c>
      <c r="B256" s="114" t="s">
        <v>21</v>
      </c>
      <c r="C256" s="114" t="s">
        <v>22</v>
      </c>
      <c r="D256" s="117" t="s">
        <v>23</v>
      </c>
      <c r="E256" s="217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</row>
    <row r="257" spans="1:256" ht="15" customHeight="1" thickTop="1" thickBot="1">
      <c r="A257" s="62">
        <v>1</v>
      </c>
      <c r="B257" s="11">
        <f>A257*860</f>
        <v>860</v>
      </c>
      <c r="C257" s="11">
        <f>A257*3600</f>
        <v>3600</v>
      </c>
      <c r="D257" s="65">
        <f>A257/0.293071</f>
        <v>3.4121424501230075</v>
      </c>
      <c r="E257" s="217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</row>
    <row r="258" spans="1:256" ht="15" customHeight="1" thickTop="1" thickBot="1">
      <c r="A258" s="56">
        <f>B258/860</f>
        <v>1.1627906976744187</v>
      </c>
      <c r="B258" s="12">
        <v>1000</v>
      </c>
      <c r="C258" s="11">
        <f>A258*3600</f>
        <v>4186.0465116279074</v>
      </c>
      <c r="D258" s="65">
        <f>A258/0.293071</f>
        <v>3.967607500143032</v>
      </c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</row>
    <row r="259" spans="1:256" ht="15" customHeight="1" thickTop="1" thickBot="1">
      <c r="A259" s="56">
        <f>C259/3600</f>
        <v>0.27777777777777779</v>
      </c>
      <c r="B259" s="11">
        <f>A259*860</f>
        <v>238.88888888888889</v>
      </c>
      <c r="C259" s="12">
        <v>1000</v>
      </c>
      <c r="D259" s="65">
        <f>A259/0.293071</f>
        <v>0.947817347256391</v>
      </c>
      <c r="E259" s="217"/>
      <c r="F259" s="217"/>
      <c r="G259" s="217"/>
      <c r="H259" s="217"/>
      <c r="I259" s="217"/>
      <c r="J259" s="217"/>
      <c r="K259" s="217"/>
      <c r="L259" s="217"/>
      <c r="M259" s="217"/>
      <c r="N259" s="217"/>
      <c r="O259" s="217"/>
    </row>
    <row r="260" spans="1:256" ht="15" customHeight="1" thickTop="1" thickBot="1">
      <c r="A260" s="56">
        <f>D260*0.293071</f>
        <v>0.29307100000000003</v>
      </c>
      <c r="B260" s="11">
        <f>A260*860</f>
        <v>252.04106000000002</v>
      </c>
      <c r="C260" s="11">
        <f>A260*3600</f>
        <v>1055.0556000000001</v>
      </c>
      <c r="D260" s="66">
        <v>1</v>
      </c>
      <c r="E260" s="217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</row>
    <row r="261" spans="1:256" s="337" customFormat="1" ht="15" customHeight="1" thickTop="1" thickBot="1">
      <c r="A261" s="275"/>
      <c r="B261" s="274"/>
      <c r="C261" s="274"/>
      <c r="D261" s="275"/>
      <c r="E261" s="251"/>
      <c r="F261" s="236"/>
      <c r="G261" s="236"/>
      <c r="H261" s="236"/>
      <c r="I261" s="236"/>
      <c r="J261" s="236"/>
      <c r="K261" s="236"/>
      <c r="L261" s="236"/>
      <c r="M261" s="236"/>
      <c r="N261" s="236"/>
      <c r="O261" s="236"/>
      <c r="P261" s="336"/>
      <c r="Q261" s="336"/>
      <c r="R261" s="336"/>
      <c r="S261" s="336"/>
      <c r="T261" s="336"/>
      <c r="U261" s="336"/>
      <c r="V261" s="336"/>
      <c r="W261" s="336"/>
      <c r="X261" s="336"/>
      <c r="Y261" s="336"/>
      <c r="Z261" s="336"/>
      <c r="AA261" s="336"/>
      <c r="AB261" s="336"/>
      <c r="AC261" s="336"/>
      <c r="AD261" s="336"/>
      <c r="AE261" s="336"/>
      <c r="AF261" s="336"/>
      <c r="AG261" s="336"/>
      <c r="AH261" s="336"/>
      <c r="AI261" s="336"/>
      <c r="AJ261" s="336"/>
      <c r="AK261" s="336"/>
      <c r="AL261" s="336"/>
      <c r="AM261" s="336"/>
      <c r="AN261" s="336"/>
      <c r="AO261" s="336"/>
      <c r="AP261" s="336"/>
      <c r="AQ261" s="336"/>
      <c r="AR261" s="336"/>
      <c r="AS261" s="336"/>
      <c r="AT261" s="336"/>
      <c r="AU261" s="336"/>
      <c r="AV261" s="336"/>
      <c r="AW261" s="336"/>
      <c r="AX261" s="336"/>
      <c r="AY261" s="336"/>
      <c r="AZ261" s="336"/>
      <c r="BA261" s="336"/>
      <c r="BB261" s="336"/>
      <c r="BC261" s="336"/>
      <c r="BD261" s="336"/>
      <c r="BE261" s="336"/>
      <c r="BF261" s="336"/>
      <c r="BG261" s="336"/>
      <c r="BH261" s="336"/>
      <c r="BI261" s="336"/>
      <c r="BJ261" s="336"/>
      <c r="BK261" s="336"/>
      <c r="BL261" s="336"/>
      <c r="BM261" s="336"/>
      <c r="BN261" s="336"/>
      <c r="BO261" s="336"/>
      <c r="BP261" s="336"/>
      <c r="BQ261" s="336"/>
      <c r="BR261" s="336"/>
      <c r="BS261" s="336"/>
      <c r="BT261" s="336"/>
      <c r="BU261" s="336"/>
      <c r="BV261" s="336"/>
      <c r="BW261" s="336"/>
      <c r="BX261" s="336"/>
      <c r="BY261" s="336"/>
      <c r="BZ261" s="336"/>
      <c r="CA261" s="336"/>
      <c r="CB261" s="336"/>
      <c r="CC261" s="336"/>
      <c r="CD261" s="336"/>
      <c r="CE261" s="336"/>
      <c r="CF261" s="336"/>
      <c r="CG261" s="336"/>
      <c r="CH261" s="336"/>
      <c r="CI261" s="336"/>
      <c r="CJ261" s="336"/>
      <c r="CK261" s="336"/>
      <c r="CL261" s="336"/>
      <c r="CM261" s="336"/>
      <c r="CN261" s="336"/>
      <c r="CO261" s="336"/>
      <c r="CP261" s="336"/>
      <c r="CQ261" s="336"/>
      <c r="CR261" s="336"/>
      <c r="CS261" s="336"/>
      <c r="CT261" s="336"/>
      <c r="CU261" s="336"/>
      <c r="CV261" s="336"/>
      <c r="CW261" s="336"/>
      <c r="CX261" s="336"/>
      <c r="CY261" s="336"/>
      <c r="CZ261" s="336"/>
      <c r="DA261" s="336"/>
      <c r="DB261" s="336"/>
      <c r="DC261" s="336"/>
      <c r="DD261" s="336"/>
      <c r="DE261" s="336"/>
      <c r="DF261" s="336"/>
      <c r="DG261" s="336"/>
      <c r="DH261" s="336"/>
      <c r="DI261" s="336"/>
      <c r="DJ261" s="336"/>
      <c r="DK261" s="336"/>
      <c r="DL261" s="336"/>
      <c r="DM261" s="336"/>
      <c r="DN261" s="336"/>
      <c r="DO261" s="336"/>
      <c r="DP261" s="336"/>
      <c r="DQ261" s="336"/>
      <c r="DR261" s="336"/>
      <c r="DS261" s="336"/>
      <c r="DT261" s="336"/>
      <c r="DU261" s="336"/>
      <c r="DV261" s="336"/>
      <c r="DW261" s="336"/>
      <c r="DX261" s="336"/>
      <c r="DY261" s="336"/>
      <c r="DZ261" s="336"/>
      <c r="EA261" s="336"/>
      <c r="EB261" s="336"/>
      <c r="EC261" s="336"/>
      <c r="ED261" s="336"/>
      <c r="EE261" s="336"/>
      <c r="EF261" s="336"/>
      <c r="EG261" s="336"/>
      <c r="EH261" s="336"/>
      <c r="EI261" s="336"/>
      <c r="EJ261" s="336"/>
      <c r="EK261" s="336"/>
      <c r="EL261" s="336"/>
      <c r="EM261" s="336"/>
      <c r="EN261" s="336"/>
      <c r="EO261" s="336"/>
      <c r="EP261" s="336"/>
      <c r="EQ261" s="336"/>
      <c r="ER261" s="336"/>
      <c r="ES261" s="336"/>
      <c r="ET261" s="336"/>
      <c r="EU261" s="336"/>
      <c r="EV261" s="336"/>
      <c r="EW261" s="336"/>
      <c r="EX261" s="336"/>
      <c r="EY261" s="336"/>
      <c r="EZ261" s="336"/>
      <c r="FA261" s="336"/>
      <c r="FB261" s="336"/>
      <c r="FC261" s="336"/>
      <c r="FD261" s="336"/>
      <c r="FE261" s="336"/>
      <c r="FF261" s="336"/>
      <c r="FG261" s="336"/>
      <c r="FH261" s="336"/>
      <c r="FI261" s="336"/>
      <c r="FJ261" s="336"/>
      <c r="FK261" s="336"/>
      <c r="FL261" s="336"/>
      <c r="FM261" s="336"/>
      <c r="FN261" s="336"/>
      <c r="FO261" s="336"/>
      <c r="FP261" s="336"/>
      <c r="FQ261" s="336"/>
      <c r="FR261" s="336"/>
      <c r="FS261" s="336"/>
      <c r="FT261" s="336"/>
      <c r="FU261" s="336"/>
      <c r="FV261" s="336"/>
      <c r="FW261" s="336"/>
      <c r="FX261" s="336"/>
      <c r="FY261" s="336"/>
      <c r="FZ261" s="336"/>
      <c r="GA261" s="336"/>
      <c r="GB261" s="336"/>
      <c r="GC261" s="336"/>
      <c r="GD261" s="336"/>
      <c r="GE261" s="336"/>
      <c r="GF261" s="336"/>
      <c r="GG261" s="336"/>
      <c r="GH261" s="336"/>
      <c r="GI261" s="336"/>
      <c r="GJ261" s="336"/>
      <c r="GK261" s="336"/>
      <c r="GL261" s="336"/>
      <c r="GM261" s="336"/>
      <c r="GN261" s="336"/>
      <c r="GO261" s="336"/>
      <c r="GP261" s="336"/>
      <c r="GQ261" s="336"/>
      <c r="GR261" s="336"/>
      <c r="GS261" s="336"/>
      <c r="GT261" s="336"/>
      <c r="GU261" s="336"/>
      <c r="GV261" s="336"/>
      <c r="GW261" s="336"/>
      <c r="GX261" s="336"/>
      <c r="GY261" s="336"/>
      <c r="GZ261" s="336"/>
      <c r="HA261" s="336"/>
      <c r="HB261" s="336"/>
      <c r="HC261" s="336"/>
      <c r="HD261" s="336"/>
      <c r="HE261" s="336"/>
      <c r="HF261" s="336"/>
      <c r="HG261" s="336"/>
      <c r="HH261" s="336"/>
      <c r="HI261" s="336"/>
      <c r="HJ261" s="336"/>
      <c r="HK261" s="336"/>
      <c r="HL261" s="336"/>
      <c r="HM261" s="336"/>
      <c r="HN261" s="336"/>
      <c r="HO261" s="336"/>
      <c r="HP261" s="336"/>
      <c r="HQ261" s="336"/>
      <c r="HR261" s="336"/>
      <c r="HS261" s="336"/>
      <c r="HT261" s="336"/>
      <c r="HU261" s="336"/>
      <c r="HV261" s="336"/>
      <c r="HW261" s="336"/>
      <c r="HX261" s="336"/>
      <c r="HY261" s="336"/>
      <c r="HZ261" s="336"/>
      <c r="IA261" s="336"/>
      <c r="IB261" s="336"/>
      <c r="IC261" s="336"/>
      <c r="ID261" s="336"/>
      <c r="IE261" s="336"/>
      <c r="IF261" s="336"/>
      <c r="IG261" s="336"/>
      <c r="IH261" s="336"/>
      <c r="II261" s="336"/>
      <c r="IJ261" s="336"/>
      <c r="IK261" s="336"/>
      <c r="IL261" s="336"/>
      <c r="IM261" s="336"/>
      <c r="IN261" s="336"/>
      <c r="IO261" s="336"/>
      <c r="IP261" s="336"/>
      <c r="IQ261" s="336"/>
      <c r="IR261" s="336"/>
      <c r="IS261" s="336"/>
      <c r="IT261" s="336"/>
      <c r="IU261" s="336"/>
      <c r="IV261" s="336"/>
    </row>
    <row r="262" spans="1:256" ht="15" customHeight="1" thickTop="1">
      <c r="A262" s="135" t="s">
        <v>263</v>
      </c>
      <c r="B262" s="175"/>
      <c r="C262" s="218"/>
      <c r="D262" s="217"/>
      <c r="E262" s="217"/>
      <c r="F262" s="217"/>
      <c r="G262" s="217"/>
      <c r="H262" s="217"/>
      <c r="I262" s="217"/>
      <c r="J262" s="217"/>
      <c r="K262" s="217"/>
      <c r="L262" s="217"/>
      <c r="M262" s="217"/>
      <c r="N262" s="217"/>
      <c r="O262" s="217"/>
    </row>
    <row r="263" spans="1:256" ht="15" customHeight="1" thickBot="1">
      <c r="A263" s="102" t="s">
        <v>95</v>
      </c>
      <c r="B263" s="103" t="s">
        <v>30</v>
      </c>
      <c r="C263" s="218"/>
      <c r="D263" s="217"/>
      <c r="E263" s="217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</row>
    <row r="264" spans="1:256" ht="15" customHeight="1" thickTop="1" thickBot="1">
      <c r="A264" s="19">
        <v>20</v>
      </c>
      <c r="B264" s="20">
        <f>A264*9/5+32</f>
        <v>68</v>
      </c>
      <c r="C264" s="218"/>
      <c r="D264" s="217"/>
      <c r="E264" s="217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</row>
    <row r="265" spans="1:256" ht="15" customHeight="1" thickTop="1" thickBot="1">
      <c r="A265" s="67">
        <f>(B265-32)*5/9</f>
        <v>21.111111111111111</v>
      </c>
      <c r="B265" s="17">
        <v>70</v>
      </c>
      <c r="C265" s="218"/>
      <c r="D265" s="217"/>
      <c r="E265" s="217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</row>
    <row r="266" spans="1:256" s="337" customFormat="1" ht="15" customHeight="1" thickTop="1" thickBot="1">
      <c r="A266" s="238"/>
      <c r="B266" s="220"/>
      <c r="C266" s="276"/>
      <c r="D266" s="217"/>
      <c r="E266" s="217"/>
      <c r="F266" s="217"/>
      <c r="G266" s="217"/>
      <c r="H266" s="236"/>
      <c r="I266" s="236"/>
      <c r="J266" s="236"/>
      <c r="K266" s="236"/>
      <c r="L266" s="236"/>
      <c r="M266" s="236"/>
      <c r="N266" s="236"/>
      <c r="O266" s="236"/>
      <c r="P266" s="336"/>
      <c r="Q266" s="336"/>
      <c r="R266" s="336"/>
      <c r="S266" s="336"/>
      <c r="T266" s="336"/>
      <c r="U266" s="336"/>
      <c r="V266" s="336"/>
      <c r="W266" s="336"/>
      <c r="X266" s="336"/>
      <c r="Y266" s="336"/>
      <c r="Z266" s="336"/>
      <c r="AA266" s="336"/>
      <c r="AB266" s="336"/>
      <c r="AC266" s="336"/>
      <c r="AD266" s="336"/>
      <c r="AE266" s="336"/>
      <c r="AF266" s="336"/>
      <c r="AG266" s="336"/>
      <c r="AH266" s="336"/>
      <c r="AI266" s="336"/>
      <c r="AJ266" s="336"/>
      <c r="AK266" s="336"/>
      <c r="AL266" s="336"/>
      <c r="AM266" s="336"/>
      <c r="AN266" s="336"/>
      <c r="AO266" s="336"/>
      <c r="AP266" s="336"/>
      <c r="AQ266" s="336"/>
      <c r="AR266" s="336"/>
      <c r="AS266" s="336"/>
      <c r="AT266" s="336"/>
      <c r="AU266" s="336"/>
      <c r="AV266" s="336"/>
      <c r="AW266" s="336"/>
      <c r="AX266" s="336"/>
      <c r="AY266" s="336"/>
      <c r="AZ266" s="336"/>
      <c r="BA266" s="336"/>
      <c r="BB266" s="336"/>
      <c r="BC266" s="336"/>
      <c r="BD266" s="336"/>
      <c r="BE266" s="336"/>
      <c r="BF266" s="336"/>
      <c r="BG266" s="336"/>
      <c r="BH266" s="336"/>
      <c r="BI266" s="336"/>
      <c r="BJ266" s="336"/>
      <c r="BK266" s="336"/>
      <c r="BL266" s="336"/>
      <c r="BM266" s="336"/>
      <c r="BN266" s="336"/>
      <c r="BO266" s="336"/>
      <c r="BP266" s="336"/>
      <c r="BQ266" s="336"/>
      <c r="BR266" s="336"/>
      <c r="BS266" s="336"/>
      <c r="BT266" s="336"/>
      <c r="BU266" s="336"/>
      <c r="BV266" s="336"/>
      <c r="BW266" s="336"/>
      <c r="BX266" s="336"/>
      <c r="BY266" s="336"/>
      <c r="BZ266" s="336"/>
      <c r="CA266" s="336"/>
      <c r="CB266" s="336"/>
      <c r="CC266" s="336"/>
      <c r="CD266" s="336"/>
      <c r="CE266" s="336"/>
      <c r="CF266" s="336"/>
      <c r="CG266" s="336"/>
      <c r="CH266" s="336"/>
      <c r="CI266" s="336"/>
      <c r="CJ266" s="336"/>
      <c r="CK266" s="336"/>
      <c r="CL266" s="336"/>
      <c r="CM266" s="336"/>
      <c r="CN266" s="336"/>
      <c r="CO266" s="336"/>
      <c r="CP266" s="336"/>
      <c r="CQ266" s="336"/>
      <c r="CR266" s="336"/>
      <c r="CS266" s="336"/>
      <c r="CT266" s="336"/>
      <c r="CU266" s="336"/>
      <c r="CV266" s="336"/>
      <c r="CW266" s="336"/>
      <c r="CX266" s="336"/>
      <c r="CY266" s="336"/>
      <c r="CZ266" s="336"/>
      <c r="DA266" s="336"/>
      <c r="DB266" s="336"/>
      <c r="DC266" s="336"/>
      <c r="DD266" s="336"/>
      <c r="DE266" s="336"/>
      <c r="DF266" s="336"/>
      <c r="DG266" s="336"/>
      <c r="DH266" s="336"/>
      <c r="DI266" s="336"/>
      <c r="DJ266" s="336"/>
      <c r="DK266" s="336"/>
      <c r="DL266" s="336"/>
      <c r="DM266" s="336"/>
      <c r="DN266" s="336"/>
      <c r="DO266" s="336"/>
      <c r="DP266" s="336"/>
      <c r="DQ266" s="336"/>
      <c r="DR266" s="336"/>
      <c r="DS266" s="336"/>
      <c r="DT266" s="336"/>
      <c r="DU266" s="336"/>
      <c r="DV266" s="336"/>
      <c r="DW266" s="336"/>
      <c r="DX266" s="336"/>
      <c r="DY266" s="336"/>
      <c r="DZ266" s="336"/>
      <c r="EA266" s="336"/>
      <c r="EB266" s="336"/>
      <c r="EC266" s="336"/>
      <c r="ED266" s="336"/>
      <c r="EE266" s="336"/>
      <c r="EF266" s="336"/>
      <c r="EG266" s="336"/>
      <c r="EH266" s="336"/>
      <c r="EI266" s="336"/>
      <c r="EJ266" s="336"/>
      <c r="EK266" s="336"/>
      <c r="EL266" s="336"/>
      <c r="EM266" s="336"/>
      <c r="EN266" s="336"/>
      <c r="EO266" s="336"/>
      <c r="EP266" s="336"/>
      <c r="EQ266" s="336"/>
      <c r="ER266" s="336"/>
      <c r="ES266" s="336"/>
      <c r="ET266" s="336"/>
      <c r="EU266" s="336"/>
      <c r="EV266" s="336"/>
      <c r="EW266" s="336"/>
      <c r="EX266" s="336"/>
      <c r="EY266" s="336"/>
      <c r="EZ266" s="336"/>
      <c r="FA266" s="336"/>
      <c r="FB266" s="336"/>
      <c r="FC266" s="336"/>
      <c r="FD266" s="336"/>
      <c r="FE266" s="336"/>
      <c r="FF266" s="336"/>
      <c r="FG266" s="336"/>
      <c r="FH266" s="336"/>
      <c r="FI266" s="336"/>
      <c r="FJ266" s="336"/>
      <c r="FK266" s="336"/>
      <c r="FL266" s="336"/>
      <c r="FM266" s="336"/>
      <c r="FN266" s="336"/>
      <c r="FO266" s="336"/>
      <c r="FP266" s="336"/>
      <c r="FQ266" s="336"/>
      <c r="FR266" s="336"/>
      <c r="FS266" s="336"/>
      <c r="FT266" s="336"/>
      <c r="FU266" s="336"/>
      <c r="FV266" s="336"/>
      <c r="FW266" s="336"/>
      <c r="FX266" s="336"/>
      <c r="FY266" s="336"/>
      <c r="FZ266" s="336"/>
      <c r="GA266" s="336"/>
      <c r="GB266" s="336"/>
      <c r="GC266" s="336"/>
      <c r="GD266" s="336"/>
      <c r="GE266" s="336"/>
      <c r="GF266" s="336"/>
      <c r="GG266" s="336"/>
      <c r="GH266" s="336"/>
      <c r="GI266" s="336"/>
      <c r="GJ266" s="336"/>
      <c r="GK266" s="336"/>
      <c r="GL266" s="336"/>
      <c r="GM266" s="336"/>
      <c r="GN266" s="336"/>
      <c r="GO266" s="336"/>
      <c r="GP266" s="336"/>
      <c r="GQ266" s="336"/>
      <c r="GR266" s="336"/>
      <c r="GS266" s="336"/>
      <c r="GT266" s="336"/>
      <c r="GU266" s="336"/>
      <c r="GV266" s="336"/>
      <c r="GW266" s="336"/>
      <c r="GX266" s="336"/>
      <c r="GY266" s="336"/>
      <c r="GZ266" s="336"/>
      <c r="HA266" s="336"/>
      <c r="HB266" s="336"/>
      <c r="HC266" s="336"/>
      <c r="HD266" s="336"/>
      <c r="HE266" s="336"/>
      <c r="HF266" s="336"/>
      <c r="HG266" s="336"/>
      <c r="HH266" s="336"/>
      <c r="HI266" s="336"/>
      <c r="HJ266" s="336"/>
      <c r="HK266" s="336"/>
      <c r="HL266" s="336"/>
      <c r="HM266" s="336"/>
      <c r="HN266" s="336"/>
      <c r="HO266" s="336"/>
      <c r="HP266" s="336"/>
      <c r="HQ266" s="336"/>
      <c r="HR266" s="336"/>
      <c r="HS266" s="336"/>
      <c r="HT266" s="336"/>
      <c r="HU266" s="336"/>
      <c r="HV266" s="336"/>
      <c r="HW266" s="336"/>
      <c r="HX266" s="336"/>
      <c r="HY266" s="336"/>
      <c r="HZ266" s="336"/>
      <c r="IA266" s="336"/>
      <c r="IB266" s="336"/>
      <c r="IC266" s="336"/>
      <c r="ID266" s="336"/>
      <c r="IE266" s="336"/>
      <c r="IF266" s="336"/>
      <c r="IG266" s="336"/>
      <c r="IH266" s="336"/>
      <c r="II266" s="336"/>
      <c r="IJ266" s="336"/>
      <c r="IK266" s="336"/>
      <c r="IL266" s="336"/>
      <c r="IM266" s="336"/>
      <c r="IN266" s="336"/>
      <c r="IO266" s="336"/>
      <c r="IP266" s="336"/>
      <c r="IQ266" s="336"/>
      <c r="IR266" s="336"/>
      <c r="IS266" s="336"/>
      <c r="IT266" s="336"/>
      <c r="IU266" s="336"/>
      <c r="IV266" s="336"/>
    </row>
    <row r="267" spans="1:256" ht="15" customHeight="1" thickTop="1">
      <c r="A267" s="135" t="s">
        <v>31</v>
      </c>
      <c r="B267" s="136"/>
      <c r="C267" s="218"/>
      <c r="D267" s="217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</row>
    <row r="268" spans="1:256" ht="15" customHeight="1">
      <c r="A268" s="137" t="s">
        <v>96</v>
      </c>
      <c r="B268" s="117" t="s">
        <v>104</v>
      </c>
      <c r="C268" s="218"/>
      <c r="D268" s="217"/>
      <c r="E268" s="217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</row>
    <row r="269" spans="1:256" ht="15" customHeight="1" thickBot="1">
      <c r="A269" s="138" t="s">
        <v>34</v>
      </c>
      <c r="B269" s="139" t="s">
        <v>40</v>
      </c>
      <c r="C269" s="218"/>
      <c r="D269" s="217"/>
      <c r="E269" s="217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</row>
    <row r="270" spans="1:256" ht="15" customHeight="1" thickTop="1" thickBot="1">
      <c r="A270" s="68">
        <v>3.14</v>
      </c>
      <c r="B270" s="9">
        <f>2*SQRT(A270/3.1416)</f>
        <v>1.9994906405112862</v>
      </c>
      <c r="C270" s="218"/>
      <c r="D270" s="217"/>
      <c r="E270" s="217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</row>
    <row r="271" spans="1:256" ht="15" customHeight="1" thickTop="1" thickBot="1">
      <c r="A271" s="67">
        <f>B271*B271*3.1416/4</f>
        <v>3.1415999999999999</v>
      </c>
      <c r="B271" s="7">
        <v>2</v>
      </c>
      <c r="C271" s="218"/>
      <c r="D271" s="217"/>
      <c r="E271" s="217"/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</row>
    <row r="272" spans="1:256" ht="15" customHeight="1" thickTop="1" thickBot="1">
      <c r="A272" s="238"/>
      <c r="B272" s="257"/>
      <c r="C272" s="218"/>
      <c r="D272" s="217"/>
      <c r="E272" s="217"/>
      <c r="F272" s="217"/>
      <c r="G272" s="217"/>
      <c r="H272" s="217"/>
      <c r="I272" s="217"/>
      <c r="J272" s="217"/>
      <c r="K272" s="217"/>
      <c r="L272" s="217"/>
      <c r="M272" s="217"/>
      <c r="N272" s="217"/>
      <c r="O272" s="217"/>
    </row>
    <row r="273" spans="1:256" ht="15" customHeight="1" thickTop="1">
      <c r="A273" s="415" t="s">
        <v>334</v>
      </c>
      <c r="B273" s="416"/>
      <c r="C273" s="416"/>
      <c r="D273" s="417"/>
      <c r="E273" s="217"/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</row>
    <row r="274" spans="1:256" ht="15" customHeight="1">
      <c r="A274" s="137" t="s">
        <v>96</v>
      </c>
      <c r="B274" s="114" t="s">
        <v>168</v>
      </c>
      <c r="C274" s="114" t="s">
        <v>336</v>
      </c>
      <c r="D274" s="117" t="s">
        <v>337</v>
      </c>
      <c r="E274" s="217"/>
      <c r="F274" s="217"/>
      <c r="G274" s="217"/>
      <c r="H274" s="217"/>
      <c r="I274" s="217"/>
      <c r="J274" s="217"/>
      <c r="K274" s="217"/>
      <c r="L274" s="217"/>
      <c r="M274" s="217"/>
      <c r="N274" s="217"/>
      <c r="O274" s="217"/>
    </row>
    <row r="275" spans="1:256" ht="15" customHeight="1" thickBot="1">
      <c r="A275" s="138" t="s">
        <v>34</v>
      </c>
      <c r="B275" s="341" t="s">
        <v>335</v>
      </c>
      <c r="C275" s="341" t="s">
        <v>40</v>
      </c>
      <c r="D275" s="139" t="s">
        <v>40</v>
      </c>
      <c r="E275" s="217"/>
      <c r="F275" s="217"/>
      <c r="G275" s="217"/>
      <c r="H275" s="217"/>
      <c r="I275" s="217"/>
      <c r="J275" s="217"/>
      <c r="K275" s="217"/>
      <c r="L275" s="217"/>
      <c r="M275" s="217"/>
      <c r="N275" s="217"/>
      <c r="O275" s="217"/>
    </row>
    <row r="276" spans="1:256" ht="15" customHeight="1" thickTop="1" thickBot="1">
      <c r="A276" s="340">
        <f>+C276*C276*0.433</f>
        <v>3.8969999999999998</v>
      </c>
      <c r="B276" s="342">
        <v>3</v>
      </c>
      <c r="C276" s="8">
        <v>3</v>
      </c>
      <c r="D276" s="418">
        <f>+C276*0.288</f>
        <v>0.86399999999999988</v>
      </c>
      <c r="E276" s="217"/>
      <c r="F276" s="217"/>
      <c r="G276" s="217"/>
      <c r="H276" s="217"/>
      <c r="I276" s="217"/>
      <c r="J276" s="217"/>
      <c r="K276" s="217"/>
      <c r="L276" s="217"/>
      <c r="M276" s="217"/>
      <c r="N276" s="217"/>
      <c r="O276" s="217"/>
    </row>
    <row r="277" spans="1:256" ht="15" customHeight="1" thickTop="1" thickBot="1">
      <c r="A277" s="340">
        <f>+C277*C277*1</f>
        <v>9</v>
      </c>
      <c r="B277" s="342">
        <v>4</v>
      </c>
      <c r="C277" s="8">
        <v>3</v>
      </c>
      <c r="D277" s="418">
        <f>+C277*0.5</f>
        <v>1.5</v>
      </c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</row>
    <row r="278" spans="1:256" ht="15" customHeight="1" thickTop="1" thickBot="1">
      <c r="A278" s="340">
        <f>+C278*C278*1.72</f>
        <v>15.48</v>
      </c>
      <c r="B278" s="342">
        <v>5</v>
      </c>
      <c r="C278" s="8">
        <v>3</v>
      </c>
      <c r="D278" s="418">
        <f>+C278*0.688</f>
        <v>2.0640000000000001</v>
      </c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</row>
    <row r="279" spans="1:256" ht="15" customHeight="1" thickTop="1" thickBot="1">
      <c r="A279" s="340">
        <f>+C279*C279*2.598</f>
        <v>23.381999999999998</v>
      </c>
      <c r="B279" s="342">
        <v>6</v>
      </c>
      <c r="C279" s="8">
        <v>3</v>
      </c>
      <c r="D279" s="418">
        <f>+C279*0.866</f>
        <v>2.5979999999999999</v>
      </c>
      <c r="E279" s="217"/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</row>
    <row r="280" spans="1:256" ht="15" customHeight="1" thickTop="1" thickBot="1">
      <c r="A280" s="340">
        <f>+C280*C280*3.634</f>
        <v>32.705999999999996</v>
      </c>
      <c r="B280" s="342">
        <v>7</v>
      </c>
      <c r="C280" s="8">
        <v>3</v>
      </c>
      <c r="D280" s="418">
        <f>+C280*1.038</f>
        <v>3.1139999999999999</v>
      </c>
      <c r="E280" s="217"/>
      <c r="F280" s="217"/>
      <c r="G280" s="217"/>
      <c r="H280" s="217"/>
      <c r="I280" s="217"/>
      <c r="J280" s="217"/>
      <c r="K280" s="217"/>
      <c r="L280" s="217"/>
      <c r="M280" s="217"/>
      <c r="N280" s="217"/>
      <c r="O280" s="217"/>
    </row>
    <row r="281" spans="1:256" ht="15" customHeight="1" thickTop="1" thickBot="1">
      <c r="A281" s="340">
        <f>+C281*C281*4.828</f>
        <v>43.452000000000005</v>
      </c>
      <c r="B281" s="342">
        <v>8</v>
      </c>
      <c r="C281" s="8">
        <v>3</v>
      </c>
      <c r="D281" s="418">
        <f>+C281*1.207</f>
        <v>3.6210000000000004</v>
      </c>
      <c r="E281" s="217"/>
      <c r="F281" s="217"/>
      <c r="G281" s="217"/>
      <c r="H281" s="217"/>
      <c r="I281" s="217"/>
      <c r="J281" s="217"/>
      <c r="K281" s="217"/>
      <c r="L281" s="217"/>
      <c r="M281" s="217"/>
      <c r="N281" s="217"/>
      <c r="O281" s="217"/>
    </row>
    <row r="282" spans="1:256" ht="15" customHeight="1" thickTop="1" thickBot="1">
      <c r="A282" s="340">
        <f>+C282*C282*6.182</f>
        <v>55.638000000000005</v>
      </c>
      <c r="B282" s="342">
        <v>9</v>
      </c>
      <c r="C282" s="8">
        <v>3</v>
      </c>
      <c r="D282" s="418">
        <f>+C282*1.374</f>
        <v>4.1219999999999999</v>
      </c>
      <c r="E282" s="217"/>
      <c r="F282" s="217"/>
      <c r="G282" s="217"/>
      <c r="H282" s="217"/>
      <c r="I282" s="217"/>
      <c r="J282" s="217"/>
      <c r="K282" s="217"/>
      <c r="L282" s="217"/>
      <c r="M282" s="217"/>
      <c r="N282" s="217"/>
      <c r="O282" s="217"/>
    </row>
    <row r="283" spans="1:256" ht="15" customHeight="1" thickTop="1" thickBot="1">
      <c r="A283" s="340">
        <f>+C283*C283*7.694</f>
        <v>69.245999999999995</v>
      </c>
      <c r="B283" s="342">
        <v>10</v>
      </c>
      <c r="C283" s="8">
        <v>3</v>
      </c>
      <c r="D283" s="418">
        <f>+C283*1.539</f>
        <v>4.617</v>
      </c>
      <c r="E283" s="217"/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</row>
    <row r="284" spans="1:256" s="337" customFormat="1" ht="15" customHeight="1" thickTop="1" thickBot="1">
      <c r="A284" s="238"/>
      <c r="B284" s="222"/>
      <c r="C284" s="276"/>
      <c r="D284" s="236"/>
      <c r="E284" s="236"/>
      <c r="F284" s="236"/>
      <c r="G284" s="236"/>
      <c r="H284" s="236"/>
      <c r="I284" s="236"/>
      <c r="J284" s="236"/>
      <c r="K284" s="236"/>
      <c r="L284" s="236"/>
      <c r="M284" s="236"/>
      <c r="N284" s="236"/>
      <c r="O284" s="236"/>
      <c r="P284" s="336"/>
      <c r="Q284" s="336"/>
      <c r="R284" s="336"/>
      <c r="S284" s="336"/>
      <c r="T284" s="336"/>
      <c r="U284" s="336"/>
      <c r="V284" s="336"/>
      <c r="W284" s="336"/>
      <c r="X284" s="336"/>
      <c r="Y284" s="336"/>
      <c r="Z284" s="336"/>
      <c r="AA284" s="336"/>
      <c r="AB284" s="336"/>
      <c r="AC284" s="336"/>
      <c r="AD284" s="336"/>
      <c r="AE284" s="336"/>
      <c r="AF284" s="336"/>
      <c r="AG284" s="336"/>
      <c r="AH284" s="336"/>
      <c r="AI284" s="336"/>
      <c r="AJ284" s="336"/>
      <c r="AK284" s="336"/>
      <c r="AL284" s="336"/>
      <c r="AM284" s="336"/>
      <c r="AN284" s="336"/>
      <c r="AO284" s="336"/>
      <c r="AP284" s="336"/>
      <c r="AQ284" s="336"/>
      <c r="AR284" s="336"/>
      <c r="AS284" s="336"/>
      <c r="AT284" s="336"/>
      <c r="AU284" s="336"/>
      <c r="AV284" s="336"/>
      <c r="AW284" s="336"/>
      <c r="AX284" s="336"/>
      <c r="AY284" s="336"/>
      <c r="AZ284" s="336"/>
      <c r="BA284" s="336"/>
      <c r="BB284" s="336"/>
      <c r="BC284" s="336"/>
      <c r="BD284" s="336"/>
      <c r="BE284" s="336"/>
      <c r="BF284" s="336"/>
      <c r="BG284" s="336"/>
      <c r="BH284" s="336"/>
      <c r="BI284" s="336"/>
      <c r="BJ284" s="336"/>
      <c r="BK284" s="336"/>
      <c r="BL284" s="336"/>
      <c r="BM284" s="336"/>
      <c r="BN284" s="336"/>
      <c r="BO284" s="336"/>
      <c r="BP284" s="336"/>
      <c r="BQ284" s="336"/>
      <c r="BR284" s="336"/>
      <c r="BS284" s="336"/>
      <c r="BT284" s="336"/>
      <c r="BU284" s="336"/>
      <c r="BV284" s="336"/>
      <c r="BW284" s="336"/>
      <c r="BX284" s="336"/>
      <c r="BY284" s="336"/>
      <c r="BZ284" s="336"/>
      <c r="CA284" s="336"/>
      <c r="CB284" s="336"/>
      <c r="CC284" s="336"/>
      <c r="CD284" s="336"/>
      <c r="CE284" s="336"/>
      <c r="CF284" s="336"/>
      <c r="CG284" s="336"/>
      <c r="CH284" s="336"/>
      <c r="CI284" s="336"/>
      <c r="CJ284" s="336"/>
      <c r="CK284" s="336"/>
      <c r="CL284" s="336"/>
      <c r="CM284" s="336"/>
      <c r="CN284" s="336"/>
      <c r="CO284" s="336"/>
      <c r="CP284" s="336"/>
      <c r="CQ284" s="336"/>
      <c r="CR284" s="336"/>
      <c r="CS284" s="336"/>
      <c r="CT284" s="336"/>
      <c r="CU284" s="336"/>
      <c r="CV284" s="336"/>
      <c r="CW284" s="336"/>
      <c r="CX284" s="336"/>
      <c r="CY284" s="336"/>
      <c r="CZ284" s="336"/>
      <c r="DA284" s="336"/>
      <c r="DB284" s="336"/>
      <c r="DC284" s="336"/>
      <c r="DD284" s="336"/>
      <c r="DE284" s="336"/>
      <c r="DF284" s="336"/>
      <c r="DG284" s="336"/>
      <c r="DH284" s="336"/>
      <c r="DI284" s="336"/>
      <c r="DJ284" s="336"/>
      <c r="DK284" s="336"/>
      <c r="DL284" s="336"/>
      <c r="DM284" s="336"/>
      <c r="DN284" s="336"/>
      <c r="DO284" s="336"/>
      <c r="DP284" s="336"/>
      <c r="DQ284" s="336"/>
      <c r="DR284" s="336"/>
      <c r="DS284" s="336"/>
      <c r="DT284" s="336"/>
      <c r="DU284" s="336"/>
      <c r="DV284" s="336"/>
      <c r="DW284" s="336"/>
      <c r="DX284" s="336"/>
      <c r="DY284" s="336"/>
      <c r="DZ284" s="336"/>
      <c r="EA284" s="336"/>
      <c r="EB284" s="336"/>
      <c r="EC284" s="336"/>
      <c r="ED284" s="336"/>
      <c r="EE284" s="336"/>
      <c r="EF284" s="336"/>
      <c r="EG284" s="336"/>
      <c r="EH284" s="336"/>
      <c r="EI284" s="336"/>
      <c r="EJ284" s="336"/>
      <c r="EK284" s="336"/>
      <c r="EL284" s="336"/>
      <c r="EM284" s="336"/>
      <c r="EN284" s="336"/>
      <c r="EO284" s="336"/>
      <c r="EP284" s="336"/>
      <c r="EQ284" s="336"/>
      <c r="ER284" s="336"/>
      <c r="ES284" s="336"/>
      <c r="ET284" s="336"/>
      <c r="EU284" s="336"/>
      <c r="EV284" s="336"/>
      <c r="EW284" s="336"/>
      <c r="EX284" s="336"/>
      <c r="EY284" s="336"/>
      <c r="EZ284" s="336"/>
      <c r="FA284" s="336"/>
      <c r="FB284" s="336"/>
      <c r="FC284" s="336"/>
      <c r="FD284" s="336"/>
      <c r="FE284" s="336"/>
      <c r="FF284" s="336"/>
      <c r="FG284" s="336"/>
      <c r="FH284" s="336"/>
      <c r="FI284" s="336"/>
      <c r="FJ284" s="336"/>
      <c r="FK284" s="336"/>
      <c r="FL284" s="336"/>
      <c r="FM284" s="336"/>
      <c r="FN284" s="336"/>
      <c r="FO284" s="336"/>
      <c r="FP284" s="336"/>
      <c r="FQ284" s="336"/>
      <c r="FR284" s="336"/>
      <c r="FS284" s="336"/>
      <c r="FT284" s="336"/>
      <c r="FU284" s="336"/>
      <c r="FV284" s="336"/>
      <c r="FW284" s="336"/>
      <c r="FX284" s="336"/>
      <c r="FY284" s="336"/>
      <c r="FZ284" s="336"/>
      <c r="GA284" s="336"/>
      <c r="GB284" s="336"/>
      <c r="GC284" s="336"/>
      <c r="GD284" s="336"/>
      <c r="GE284" s="336"/>
      <c r="GF284" s="336"/>
      <c r="GG284" s="336"/>
      <c r="GH284" s="336"/>
      <c r="GI284" s="336"/>
      <c r="GJ284" s="336"/>
      <c r="GK284" s="336"/>
      <c r="GL284" s="336"/>
      <c r="GM284" s="336"/>
      <c r="GN284" s="336"/>
      <c r="GO284" s="336"/>
      <c r="GP284" s="336"/>
      <c r="GQ284" s="336"/>
      <c r="GR284" s="336"/>
      <c r="GS284" s="336"/>
      <c r="GT284" s="336"/>
      <c r="GU284" s="336"/>
      <c r="GV284" s="336"/>
      <c r="GW284" s="336"/>
      <c r="GX284" s="336"/>
      <c r="GY284" s="336"/>
      <c r="GZ284" s="336"/>
      <c r="HA284" s="336"/>
      <c r="HB284" s="336"/>
      <c r="HC284" s="336"/>
      <c r="HD284" s="336"/>
      <c r="HE284" s="336"/>
      <c r="HF284" s="336"/>
      <c r="HG284" s="336"/>
      <c r="HH284" s="336"/>
      <c r="HI284" s="336"/>
      <c r="HJ284" s="336"/>
      <c r="HK284" s="336"/>
      <c r="HL284" s="336"/>
      <c r="HM284" s="336"/>
      <c r="HN284" s="336"/>
      <c r="HO284" s="336"/>
      <c r="HP284" s="336"/>
      <c r="HQ284" s="336"/>
      <c r="HR284" s="336"/>
      <c r="HS284" s="336"/>
      <c r="HT284" s="336"/>
      <c r="HU284" s="336"/>
      <c r="HV284" s="336"/>
      <c r="HW284" s="336"/>
      <c r="HX284" s="336"/>
      <c r="HY284" s="336"/>
      <c r="HZ284" s="336"/>
      <c r="IA284" s="336"/>
      <c r="IB284" s="336"/>
      <c r="IC284" s="336"/>
      <c r="ID284" s="336"/>
      <c r="IE284" s="336"/>
      <c r="IF284" s="336"/>
      <c r="IG284" s="336"/>
      <c r="IH284" s="336"/>
      <c r="II284" s="336"/>
      <c r="IJ284" s="336"/>
      <c r="IK284" s="336"/>
      <c r="IL284" s="336"/>
      <c r="IM284" s="336"/>
      <c r="IN284" s="336"/>
      <c r="IO284" s="336"/>
      <c r="IP284" s="336"/>
      <c r="IQ284" s="336"/>
      <c r="IR284" s="336"/>
      <c r="IS284" s="336"/>
      <c r="IT284" s="336"/>
      <c r="IU284" s="336"/>
      <c r="IV284" s="336"/>
    </row>
    <row r="285" spans="1:256" ht="16" customHeight="1" thickTop="1">
      <c r="A285" s="109" t="s">
        <v>276</v>
      </c>
      <c r="B285" s="386"/>
      <c r="C285" s="122"/>
      <c r="D285" s="123"/>
      <c r="E285" s="110"/>
      <c r="F285" s="300"/>
      <c r="G285" s="124" t="s">
        <v>32</v>
      </c>
      <c r="H285" s="125"/>
      <c r="I285" s="126" t="s">
        <v>32</v>
      </c>
      <c r="J285" s="217"/>
      <c r="K285" s="217"/>
      <c r="L285" s="217"/>
      <c r="M285" s="217"/>
      <c r="N285" s="217"/>
      <c r="O285" s="217"/>
    </row>
    <row r="286" spans="1:256" ht="16" customHeight="1">
      <c r="A286" s="301"/>
      <c r="B286" s="115"/>
      <c r="C286" s="115"/>
      <c r="D286" s="115"/>
      <c r="E286" s="115"/>
      <c r="F286" s="127" t="s">
        <v>191</v>
      </c>
      <c r="G286" s="128" t="s">
        <v>124</v>
      </c>
      <c r="H286" s="128"/>
      <c r="I286" s="129" t="s">
        <v>124</v>
      </c>
      <c r="J286" s="217"/>
      <c r="K286" s="217"/>
      <c r="L286" s="217"/>
      <c r="M286" s="217"/>
      <c r="N286" s="217"/>
      <c r="O286" s="217"/>
    </row>
    <row r="287" spans="1:256" ht="16" customHeight="1">
      <c r="A287" s="302" t="s">
        <v>17</v>
      </c>
      <c r="B287" s="130" t="s">
        <v>17</v>
      </c>
      <c r="C287" s="130" t="s">
        <v>121</v>
      </c>
      <c r="D287" s="119" t="s">
        <v>6</v>
      </c>
      <c r="E287" s="119" t="s">
        <v>122</v>
      </c>
      <c r="F287" s="119" t="s">
        <v>123</v>
      </c>
      <c r="G287" s="128" t="s">
        <v>126</v>
      </c>
      <c r="H287" s="128" t="s">
        <v>127</v>
      </c>
      <c r="I287" s="129" t="s">
        <v>125</v>
      </c>
      <c r="J287" s="217"/>
      <c r="K287" s="217"/>
      <c r="L287" s="217"/>
      <c r="M287" s="217"/>
      <c r="N287" s="217"/>
      <c r="O287" s="217"/>
    </row>
    <row r="288" spans="1:256" ht="16" customHeight="1" thickBot="1">
      <c r="A288" s="131" t="s">
        <v>192</v>
      </c>
      <c r="B288" s="132" t="s">
        <v>18</v>
      </c>
      <c r="C288" s="132" t="s">
        <v>5</v>
      </c>
      <c r="D288" s="132" t="s">
        <v>6</v>
      </c>
      <c r="E288" s="132" t="s">
        <v>4</v>
      </c>
      <c r="F288" s="132" t="s">
        <v>35</v>
      </c>
      <c r="G288" s="133" t="s">
        <v>34</v>
      </c>
      <c r="H288" s="133" t="s">
        <v>128</v>
      </c>
      <c r="I288" s="134" t="s">
        <v>34</v>
      </c>
      <c r="J288" s="217"/>
      <c r="K288" s="217"/>
      <c r="L288" s="217"/>
      <c r="M288" s="217"/>
      <c r="N288" s="217"/>
      <c r="O288" s="217"/>
    </row>
    <row r="289" spans="1:16" s="338" customFormat="1" ht="16" customHeight="1" thickTop="1" thickBot="1">
      <c r="A289" s="304">
        <v>4</v>
      </c>
      <c r="B289" s="69">
        <f>+A289/0.746</f>
        <v>5.3619302949061662</v>
      </c>
      <c r="C289" s="70">
        <v>400</v>
      </c>
      <c r="D289" s="49">
        <v>0.9</v>
      </c>
      <c r="E289" s="59">
        <f>+A289*1000/(1.73*C289*D289)</f>
        <v>6.4226075786769421</v>
      </c>
      <c r="F289" s="70">
        <v>2.5</v>
      </c>
      <c r="G289" s="13">
        <f>+E289/F289</f>
        <v>2.5690430314707768</v>
      </c>
      <c r="H289" s="71" t="s">
        <v>37</v>
      </c>
      <c r="I289" s="20">
        <f>VLOOKUP(G289,A303:B320,2,TRUE)</f>
        <v>4</v>
      </c>
      <c r="J289" s="217"/>
      <c r="K289" s="217"/>
      <c r="L289" s="218"/>
      <c r="M289" s="217"/>
      <c r="N289" s="217"/>
      <c r="O289" s="217"/>
      <c r="P289" s="334"/>
    </row>
    <row r="290" spans="1:16" s="338" customFormat="1" ht="16" customHeight="1" thickTop="1" thickBot="1">
      <c r="A290" s="72">
        <f>+B290*0.746</f>
        <v>74.599999999999994</v>
      </c>
      <c r="B290" s="305">
        <v>100</v>
      </c>
      <c r="C290" s="70">
        <v>400</v>
      </c>
      <c r="D290" s="49">
        <v>0.9</v>
      </c>
      <c r="E290" s="59">
        <f>+A290*1000/(1.73*C290*D290)</f>
        <v>119.78163134232497</v>
      </c>
      <c r="F290" s="70">
        <v>2.5</v>
      </c>
      <c r="G290" s="13">
        <f>+E290/F290</f>
        <v>47.91265253692999</v>
      </c>
      <c r="H290" s="71" t="s">
        <v>37</v>
      </c>
      <c r="I290" s="20">
        <f>VLOOKUP(G290,A303:B320,2,TRUE)</f>
        <v>50</v>
      </c>
      <c r="J290" s="217"/>
      <c r="K290" s="217"/>
      <c r="L290" s="218"/>
      <c r="M290" s="218"/>
      <c r="N290" s="218"/>
      <c r="O290" s="218"/>
    </row>
    <row r="291" spans="1:16" s="339" customFormat="1" ht="16" customHeight="1" thickTop="1" thickBot="1">
      <c r="A291" s="280"/>
      <c r="B291" s="278"/>
      <c r="C291" s="279"/>
      <c r="D291" s="267"/>
      <c r="E291" s="224"/>
      <c r="F291" s="279"/>
      <c r="G291" s="238"/>
      <c r="H291" s="277"/>
      <c r="I291" s="254"/>
      <c r="J291" s="236"/>
      <c r="K291" s="236"/>
      <c r="L291" s="276"/>
      <c r="M291" s="276"/>
      <c r="N291" s="276"/>
      <c r="O291" s="276"/>
    </row>
    <row r="292" spans="1:16" s="338" customFormat="1" ht="16" customHeight="1" thickTop="1">
      <c r="A292" s="109" t="s">
        <v>175</v>
      </c>
      <c r="B292" s="110"/>
      <c r="C292" s="110"/>
      <c r="D292" s="110"/>
      <c r="E292" s="110"/>
      <c r="F292" s="111"/>
      <c r="G292" s="110"/>
      <c r="H292" s="110"/>
      <c r="I292" s="110"/>
      <c r="J292" s="110"/>
      <c r="K292" s="110"/>
      <c r="L292" s="110"/>
      <c r="M292" s="112"/>
      <c r="N292" s="73" t="s">
        <v>176</v>
      </c>
      <c r="O292" s="218"/>
    </row>
    <row r="293" spans="1:16" s="338" customFormat="1" ht="16" customHeight="1">
      <c r="A293" s="113" t="s">
        <v>86</v>
      </c>
      <c r="B293" s="114" t="s">
        <v>17</v>
      </c>
      <c r="C293" s="115" t="s">
        <v>121</v>
      </c>
      <c r="D293" s="116" t="s">
        <v>6</v>
      </c>
      <c r="E293" s="116" t="s">
        <v>122</v>
      </c>
      <c r="F293" s="114" t="s">
        <v>184</v>
      </c>
      <c r="G293" s="114" t="s">
        <v>181</v>
      </c>
      <c r="H293" s="114" t="s">
        <v>29</v>
      </c>
      <c r="I293" s="114" t="s">
        <v>181</v>
      </c>
      <c r="J293" s="116" t="s">
        <v>32</v>
      </c>
      <c r="K293" s="114" t="s">
        <v>277</v>
      </c>
      <c r="L293" s="114" t="s">
        <v>60</v>
      </c>
      <c r="M293" s="114" t="s">
        <v>181</v>
      </c>
      <c r="N293" s="117" t="s">
        <v>121</v>
      </c>
      <c r="O293" s="218"/>
    </row>
    <row r="294" spans="1:16" s="338" customFormat="1" ht="16" customHeight="1">
      <c r="A294" s="192"/>
      <c r="B294" s="118"/>
      <c r="C294" s="118"/>
      <c r="D294" s="118"/>
      <c r="E294" s="118"/>
      <c r="F294" s="118" t="s">
        <v>182</v>
      </c>
      <c r="G294" s="118" t="s">
        <v>186</v>
      </c>
      <c r="H294" s="118" t="s">
        <v>185</v>
      </c>
      <c r="I294" s="118" t="s">
        <v>182</v>
      </c>
      <c r="J294" s="119" t="s">
        <v>124</v>
      </c>
      <c r="K294" s="118" t="s">
        <v>278</v>
      </c>
      <c r="L294" s="118" t="s">
        <v>177</v>
      </c>
      <c r="M294" s="118" t="s">
        <v>189</v>
      </c>
      <c r="N294" s="120" t="s">
        <v>190</v>
      </c>
      <c r="O294" s="218"/>
    </row>
    <row r="295" spans="1:16" s="338" customFormat="1" ht="16" customHeight="1" thickBot="1">
      <c r="A295" s="113"/>
      <c r="B295" s="114" t="s">
        <v>192</v>
      </c>
      <c r="C295" s="115" t="s">
        <v>5</v>
      </c>
      <c r="D295" s="115" t="s">
        <v>6</v>
      </c>
      <c r="E295" s="115" t="s">
        <v>4</v>
      </c>
      <c r="F295" s="114" t="s">
        <v>183</v>
      </c>
      <c r="G295" s="114" t="s">
        <v>187</v>
      </c>
      <c r="H295" s="114" t="s">
        <v>72</v>
      </c>
      <c r="I295" s="114" t="s">
        <v>183</v>
      </c>
      <c r="J295" s="116" t="s">
        <v>34</v>
      </c>
      <c r="K295" s="132" t="s">
        <v>35</v>
      </c>
      <c r="L295" s="116" t="s">
        <v>36</v>
      </c>
      <c r="M295" s="114" t="s">
        <v>188</v>
      </c>
      <c r="N295" s="121" t="s">
        <v>5</v>
      </c>
      <c r="O295" s="218"/>
    </row>
    <row r="296" spans="1:16" s="338" customFormat="1" ht="16" customHeight="1" thickTop="1" thickBot="1">
      <c r="A296" s="74" t="s">
        <v>180</v>
      </c>
      <c r="B296" s="57">
        <v>0.1</v>
      </c>
      <c r="C296" s="4">
        <v>12</v>
      </c>
      <c r="D296" s="75">
        <v>1</v>
      </c>
      <c r="E296" s="59">
        <f>+B296*1000/(C296*D296)</f>
        <v>8.3333333333333339</v>
      </c>
      <c r="F296" s="76">
        <v>1.6E-2</v>
      </c>
      <c r="G296" s="76">
        <v>4.3E-3</v>
      </c>
      <c r="H296" s="4">
        <v>30</v>
      </c>
      <c r="I296" s="77">
        <f>+F296*(1+G296*H296)</f>
        <v>1.8064E-2</v>
      </c>
      <c r="J296" s="4">
        <v>2.5</v>
      </c>
      <c r="K296" s="303">
        <f>IF(+(E296/J296)&lt;4,+(E296/J296),"cavo piccolo")</f>
        <v>3.3333333333333335</v>
      </c>
      <c r="L296" s="4">
        <v>5</v>
      </c>
      <c r="M296" s="77">
        <f>+I296*L296/J296</f>
        <v>3.6128E-2</v>
      </c>
      <c r="N296" s="9">
        <f>2*M296*E296</f>
        <v>0.60213333333333341</v>
      </c>
      <c r="O296" s="78" t="str">
        <f>+A296</f>
        <v>continua</v>
      </c>
    </row>
    <row r="297" spans="1:16" s="338" customFormat="1" ht="16" customHeight="1" thickTop="1" thickBot="1">
      <c r="A297" s="74" t="s">
        <v>179</v>
      </c>
      <c r="B297" s="57">
        <v>0.85</v>
      </c>
      <c r="C297" s="4">
        <v>230</v>
      </c>
      <c r="D297" s="49">
        <v>0.85</v>
      </c>
      <c r="E297" s="59">
        <f>+B297*1000/(C297*D297)</f>
        <v>4.3478260869565215</v>
      </c>
      <c r="F297" s="76">
        <v>1.6E-2</v>
      </c>
      <c r="G297" s="76">
        <v>4.3E-3</v>
      </c>
      <c r="H297" s="4">
        <v>20</v>
      </c>
      <c r="I297" s="77">
        <f>+F297*(1+G297*H297)</f>
        <v>1.7376000000000003E-2</v>
      </c>
      <c r="J297" s="4">
        <v>2.5</v>
      </c>
      <c r="K297" s="303">
        <f t="shared" ref="K297:K298" si="23">IF(+(E297/J297)&lt;4,+(E297/J297),"cavo piccolo")</f>
        <v>1.7391304347826086</v>
      </c>
      <c r="L297" s="4">
        <v>165</v>
      </c>
      <c r="M297" s="77">
        <f>+I297*L297/J297</f>
        <v>1.1468160000000001</v>
      </c>
      <c r="N297" s="9">
        <f>2*M297*E297*D297</f>
        <v>8.4764660869565223</v>
      </c>
      <c r="O297" s="78" t="str">
        <f>+A297</f>
        <v>monofase</v>
      </c>
    </row>
    <row r="298" spans="1:16" s="338" customFormat="1" ht="16" customHeight="1" thickTop="1" thickBot="1">
      <c r="A298" s="74" t="s">
        <v>178</v>
      </c>
      <c r="B298" s="4">
        <v>100</v>
      </c>
      <c r="C298" s="4">
        <v>400</v>
      </c>
      <c r="D298" s="49">
        <v>0.85</v>
      </c>
      <c r="E298" s="59">
        <f>+B298*1000/(1.73*C298*D298)</f>
        <v>170.01020061203675</v>
      </c>
      <c r="F298" s="76">
        <v>1.6E-2</v>
      </c>
      <c r="G298" s="76">
        <v>4.3E-3</v>
      </c>
      <c r="H298" s="4">
        <v>40</v>
      </c>
      <c r="I298" s="77">
        <f>+F298*(1+G298*H298)</f>
        <v>1.8751999999999998E-2</v>
      </c>
      <c r="J298" s="4">
        <v>50</v>
      </c>
      <c r="K298" s="303">
        <f t="shared" si="23"/>
        <v>3.4002040122407351</v>
      </c>
      <c r="L298" s="4">
        <v>100</v>
      </c>
      <c r="M298" s="77">
        <f>+I298*L298/J298</f>
        <v>3.7503999999999996E-2</v>
      </c>
      <c r="N298" s="9">
        <f>1.73*2*M298*E298*D298</f>
        <v>18.751999999999999</v>
      </c>
      <c r="O298" s="78" t="str">
        <f>+A298</f>
        <v>trifase</v>
      </c>
    </row>
    <row r="299" spans="1:16" s="339" customFormat="1" ht="16" customHeight="1" thickTop="1" thickBot="1">
      <c r="A299" s="241"/>
      <c r="B299" s="220"/>
      <c r="C299" s="251"/>
      <c r="D299" s="282"/>
      <c r="E299" s="275"/>
      <c r="F299" s="276"/>
      <c r="G299" s="276"/>
      <c r="H299" s="251"/>
      <c r="I299" s="281"/>
      <c r="J299" s="251"/>
      <c r="K299" s="251"/>
      <c r="L299" s="281"/>
      <c r="M299" s="257"/>
      <c r="N299" s="283"/>
      <c r="O299" s="276"/>
    </row>
    <row r="300" spans="1:16" s="339" customFormat="1" ht="16" customHeight="1" thickTop="1">
      <c r="A300" s="311" t="s">
        <v>128</v>
      </c>
      <c r="B300" s="306"/>
      <c r="C300" s="251"/>
      <c r="D300" s="282"/>
      <c r="E300" s="275"/>
      <c r="F300" s="276"/>
      <c r="G300" s="276"/>
      <c r="H300" s="251"/>
      <c r="I300" s="281"/>
      <c r="J300" s="251"/>
      <c r="K300" s="251"/>
      <c r="L300" s="281"/>
      <c r="M300" s="257"/>
      <c r="N300" s="283"/>
      <c r="O300" s="276"/>
    </row>
    <row r="301" spans="1:16" ht="16" customHeight="1">
      <c r="A301" s="307" t="s">
        <v>279</v>
      </c>
      <c r="B301" s="308" t="s">
        <v>222</v>
      </c>
      <c r="C301" s="217"/>
      <c r="D301" s="217"/>
      <c r="E301" s="217"/>
      <c r="F301" s="217"/>
      <c r="G301" s="217"/>
      <c r="H301" s="217"/>
      <c r="I301" s="217"/>
      <c r="J301" s="217"/>
      <c r="K301" s="217"/>
      <c r="L301" s="217"/>
      <c r="M301" s="217"/>
      <c r="N301" s="217"/>
      <c r="O301" s="217"/>
    </row>
    <row r="302" spans="1:16" ht="16" customHeight="1">
      <c r="A302" s="309" t="s">
        <v>124</v>
      </c>
      <c r="B302" s="310" t="s">
        <v>223</v>
      </c>
      <c r="C302" s="217"/>
      <c r="D302" s="217"/>
      <c r="E302" s="217"/>
      <c r="F302" s="217"/>
      <c r="G302" s="217"/>
      <c r="H302" s="217"/>
      <c r="I302" s="217"/>
      <c r="J302" s="217"/>
      <c r="K302" s="217"/>
      <c r="L302" s="217"/>
      <c r="M302" s="217"/>
      <c r="N302" s="217"/>
      <c r="O302" s="217"/>
    </row>
    <row r="303" spans="1:16" ht="15" customHeight="1">
      <c r="A303" s="104">
        <v>0</v>
      </c>
      <c r="B303" s="105">
        <v>0.75</v>
      </c>
      <c r="C303" s="217"/>
      <c r="D303" s="217"/>
      <c r="E303" s="217"/>
      <c r="F303" s="217"/>
      <c r="G303" s="217"/>
      <c r="H303" s="217"/>
      <c r="I303" s="217"/>
      <c r="J303" s="217"/>
      <c r="K303" s="217"/>
      <c r="L303" s="217"/>
      <c r="M303" s="217"/>
      <c r="N303" s="217"/>
      <c r="O303" s="217"/>
    </row>
    <row r="304" spans="1:16" ht="15" customHeight="1">
      <c r="A304" s="106">
        <v>0.75</v>
      </c>
      <c r="B304" s="105">
        <v>1</v>
      </c>
      <c r="C304" s="217"/>
      <c r="D304" s="217"/>
      <c r="E304" s="217"/>
      <c r="F304" s="217"/>
      <c r="G304" s="217"/>
      <c r="H304" s="217"/>
      <c r="I304" s="217"/>
      <c r="J304" s="217"/>
      <c r="K304" s="217"/>
      <c r="L304" s="217"/>
      <c r="M304" s="217"/>
      <c r="N304" s="217"/>
      <c r="O304" s="217"/>
    </row>
    <row r="305" spans="1:15" ht="15" customHeight="1">
      <c r="A305" s="106">
        <v>1</v>
      </c>
      <c r="B305" s="105">
        <v>1.5</v>
      </c>
      <c r="C305" s="217"/>
      <c r="D305" s="217"/>
      <c r="E305" s="217"/>
      <c r="F305" s="217"/>
      <c r="G305" s="217"/>
      <c r="H305" s="217"/>
      <c r="I305" s="217"/>
      <c r="J305" s="217"/>
      <c r="K305" s="217"/>
      <c r="L305" s="217"/>
      <c r="M305" s="217"/>
      <c r="N305" s="217"/>
      <c r="O305" s="217"/>
    </row>
    <row r="306" spans="1:15" ht="15" customHeight="1">
      <c r="A306" s="106">
        <v>1.5</v>
      </c>
      <c r="B306" s="105">
        <v>2.5</v>
      </c>
      <c r="C306" s="217"/>
      <c r="D306" s="217"/>
      <c r="E306" s="217"/>
      <c r="F306" s="217"/>
      <c r="G306" s="217"/>
      <c r="H306" s="217"/>
      <c r="I306" s="217"/>
      <c r="J306" s="217"/>
      <c r="K306" s="217"/>
      <c r="L306" s="217"/>
      <c r="M306" s="217"/>
      <c r="N306" s="217"/>
      <c r="O306" s="217"/>
    </row>
    <row r="307" spans="1:15" ht="15" customHeight="1">
      <c r="A307" s="106">
        <v>2.5</v>
      </c>
      <c r="B307" s="105">
        <v>4</v>
      </c>
      <c r="C307" s="217"/>
      <c r="D307" s="217"/>
      <c r="E307" s="217"/>
      <c r="F307" s="217"/>
      <c r="G307" s="217"/>
      <c r="H307" s="217"/>
      <c r="I307" s="217"/>
      <c r="J307" s="217"/>
      <c r="K307" s="217"/>
      <c r="L307" s="217"/>
      <c r="M307" s="217"/>
      <c r="N307" s="217"/>
      <c r="O307" s="217"/>
    </row>
    <row r="308" spans="1:15" ht="15" customHeight="1">
      <c r="A308" s="106">
        <v>4</v>
      </c>
      <c r="B308" s="105">
        <v>6</v>
      </c>
      <c r="C308" s="217"/>
      <c r="D308" s="217"/>
      <c r="E308" s="217"/>
      <c r="F308" s="217"/>
      <c r="G308" s="217"/>
      <c r="H308" s="217"/>
      <c r="I308" s="217"/>
      <c r="J308" s="217"/>
      <c r="K308" s="217"/>
      <c r="L308" s="217"/>
      <c r="M308" s="217"/>
      <c r="N308" s="217"/>
      <c r="O308" s="217"/>
    </row>
    <row r="309" spans="1:15" ht="15" customHeight="1">
      <c r="A309" s="106">
        <v>6</v>
      </c>
      <c r="B309" s="105">
        <v>10</v>
      </c>
      <c r="C309" s="217"/>
      <c r="D309" s="217"/>
      <c r="E309" s="217"/>
      <c r="F309" s="217"/>
      <c r="G309" s="217"/>
      <c r="H309" s="217"/>
      <c r="I309" s="217"/>
      <c r="J309" s="217"/>
      <c r="K309" s="217"/>
      <c r="L309" s="217"/>
      <c r="M309" s="217"/>
      <c r="N309" s="217"/>
      <c r="O309" s="217"/>
    </row>
    <row r="310" spans="1:15" ht="15" customHeight="1">
      <c r="A310" s="106">
        <v>10</v>
      </c>
      <c r="B310" s="105">
        <v>16</v>
      </c>
      <c r="C310" s="217"/>
      <c r="D310" s="217"/>
      <c r="E310" s="217"/>
      <c r="F310" s="217"/>
      <c r="G310" s="217"/>
      <c r="H310" s="217"/>
      <c r="I310" s="217"/>
      <c r="J310" s="217"/>
      <c r="K310" s="217"/>
      <c r="L310" s="217"/>
      <c r="M310" s="217"/>
      <c r="N310" s="217"/>
      <c r="O310" s="217"/>
    </row>
    <row r="311" spans="1:15" ht="15" customHeight="1">
      <c r="A311" s="106">
        <v>16</v>
      </c>
      <c r="B311" s="105">
        <v>25</v>
      </c>
      <c r="C311" s="217"/>
      <c r="D311" s="217"/>
      <c r="E311" s="217"/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</row>
    <row r="312" spans="1:15" ht="15" customHeight="1">
      <c r="A312" s="106">
        <v>25</v>
      </c>
      <c r="B312" s="105">
        <v>35</v>
      </c>
      <c r="C312" s="217"/>
      <c r="D312" s="217"/>
      <c r="E312" s="217"/>
      <c r="F312" s="217"/>
      <c r="G312" s="217"/>
      <c r="H312" s="217"/>
      <c r="I312" s="217"/>
      <c r="J312" s="217"/>
      <c r="K312" s="217"/>
      <c r="L312" s="217"/>
      <c r="M312" s="217"/>
      <c r="N312" s="217"/>
      <c r="O312" s="217"/>
    </row>
    <row r="313" spans="1:15" ht="15" customHeight="1">
      <c r="A313" s="106">
        <v>35</v>
      </c>
      <c r="B313" s="105">
        <v>35</v>
      </c>
      <c r="C313" s="217"/>
      <c r="D313" s="217"/>
      <c r="E313" s="217"/>
      <c r="F313" s="217"/>
      <c r="G313" s="217"/>
      <c r="H313" s="217"/>
      <c r="I313" s="217"/>
      <c r="J313" s="217"/>
      <c r="K313" s="217"/>
      <c r="L313" s="217"/>
      <c r="M313" s="217"/>
      <c r="N313" s="217"/>
      <c r="O313" s="217"/>
    </row>
    <row r="314" spans="1:15" ht="15" customHeight="1">
      <c r="A314" s="106">
        <v>35</v>
      </c>
      <c r="B314" s="105">
        <v>50</v>
      </c>
      <c r="C314" s="217"/>
      <c r="D314" s="217"/>
      <c r="E314" s="217"/>
      <c r="F314" s="217"/>
      <c r="G314" s="217"/>
      <c r="H314" s="217"/>
      <c r="I314" s="217"/>
      <c r="J314" s="217"/>
      <c r="K314" s="217"/>
      <c r="L314" s="217"/>
      <c r="M314" s="217"/>
      <c r="N314" s="217"/>
      <c r="O314" s="217"/>
    </row>
    <row r="315" spans="1:15" ht="15" customHeight="1">
      <c r="A315" s="106">
        <v>50</v>
      </c>
      <c r="B315" s="105">
        <v>70</v>
      </c>
      <c r="C315" s="217"/>
      <c r="D315" s="217"/>
      <c r="E315" s="217"/>
      <c r="F315" s="217"/>
      <c r="G315" s="217"/>
      <c r="H315" s="217"/>
      <c r="I315" s="217"/>
      <c r="J315" s="217"/>
      <c r="K315" s="217"/>
      <c r="L315" s="217"/>
      <c r="M315" s="217"/>
      <c r="N315" s="217"/>
      <c r="O315" s="217"/>
    </row>
    <row r="316" spans="1:15" ht="15" customHeight="1">
      <c r="A316" s="106">
        <v>70</v>
      </c>
      <c r="B316" s="105">
        <v>95</v>
      </c>
      <c r="C316" s="217" t="s">
        <v>280</v>
      </c>
      <c r="D316" s="217"/>
      <c r="E316" s="217"/>
      <c r="F316" s="217"/>
      <c r="G316" s="217"/>
      <c r="H316" s="217"/>
      <c r="I316" s="217"/>
      <c r="J316" s="217"/>
      <c r="K316" s="217"/>
      <c r="L316" s="217"/>
      <c r="M316" s="217"/>
      <c r="N316" s="217"/>
      <c r="O316" s="217"/>
    </row>
    <row r="317" spans="1:15" ht="15" customHeight="1">
      <c r="A317" s="106">
        <v>95</v>
      </c>
      <c r="B317" s="105">
        <v>120</v>
      </c>
      <c r="C317" s="217" t="s">
        <v>281</v>
      </c>
      <c r="D317" s="217"/>
      <c r="E317" s="217"/>
      <c r="F317" s="217"/>
      <c r="G317" s="217"/>
      <c r="H317" s="217"/>
      <c r="I317" s="217"/>
      <c r="J317" s="217"/>
      <c r="K317" s="217"/>
      <c r="L317" s="217"/>
      <c r="M317" s="217"/>
      <c r="N317" s="217"/>
      <c r="O317" s="217"/>
    </row>
    <row r="318" spans="1:15" ht="15" customHeight="1">
      <c r="A318" s="106">
        <v>120</v>
      </c>
      <c r="B318" s="105">
        <v>150</v>
      </c>
      <c r="C318" s="217" t="s">
        <v>282</v>
      </c>
      <c r="D318" s="217"/>
      <c r="E318" s="217"/>
      <c r="F318" s="217"/>
      <c r="G318" s="217"/>
      <c r="H318" s="217"/>
      <c r="I318" s="217"/>
      <c r="J318" s="217"/>
      <c r="K318" s="217"/>
      <c r="L318" s="217"/>
      <c r="M318" s="217"/>
      <c r="N318" s="217"/>
      <c r="O318" s="217"/>
    </row>
    <row r="319" spans="1:15" ht="15" customHeight="1">
      <c r="A319" s="106">
        <v>150</v>
      </c>
      <c r="B319" s="105">
        <v>185</v>
      </c>
      <c r="C319" s="217" t="s">
        <v>283</v>
      </c>
      <c r="D319" s="217"/>
      <c r="E319" s="217"/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</row>
    <row r="320" spans="1:15" ht="15" customHeight="1" thickBot="1">
      <c r="A320" s="107">
        <v>185</v>
      </c>
      <c r="B320" s="108">
        <v>240</v>
      </c>
      <c r="C320" s="1" t="s">
        <v>298</v>
      </c>
      <c r="E320" s="217"/>
      <c r="F320" s="217"/>
      <c r="G320" s="217"/>
      <c r="H320" s="217"/>
      <c r="I320" s="217"/>
      <c r="J320" s="217"/>
      <c r="K320" s="217"/>
      <c r="L320" s="217"/>
      <c r="M320" s="217"/>
      <c r="N320" s="217"/>
      <c r="O320" s="217"/>
    </row>
    <row r="321" spans="1:256" ht="16" thickTop="1" thickBot="1">
      <c r="A321" s="217"/>
      <c r="B321" s="217"/>
      <c r="C321" s="217"/>
      <c r="D321" s="217"/>
      <c r="E321" s="217"/>
      <c r="F321" s="217"/>
      <c r="G321" s="217"/>
      <c r="H321" s="217"/>
      <c r="I321" s="217"/>
      <c r="J321" s="217"/>
      <c r="K321" s="217"/>
      <c r="L321" s="217"/>
      <c r="M321" s="217"/>
      <c r="N321" s="217"/>
      <c r="O321" s="217"/>
    </row>
    <row r="322" spans="1:256" ht="15" customHeight="1" thickTop="1">
      <c r="A322" s="135" t="s">
        <v>338</v>
      </c>
      <c r="B322" s="384"/>
      <c r="C322" s="384"/>
      <c r="D322" s="384"/>
      <c r="E322" s="384"/>
      <c r="F322" s="384"/>
      <c r="G322" s="384"/>
      <c r="H322" s="384"/>
      <c r="I322" s="385"/>
      <c r="J322" s="217"/>
      <c r="K322" s="217"/>
      <c r="L322" s="217"/>
      <c r="M322" s="217"/>
      <c r="N322" s="217"/>
      <c r="O322" s="217"/>
    </row>
    <row r="323" spans="1:256" ht="15" customHeight="1">
      <c r="A323" s="320" t="s">
        <v>323</v>
      </c>
      <c r="B323" s="321"/>
      <c r="C323" s="321"/>
      <c r="D323" s="321"/>
      <c r="E323" s="236"/>
      <c r="F323" s="236"/>
      <c r="G323" s="236"/>
      <c r="H323" s="327"/>
      <c r="I323" s="328"/>
      <c r="J323" s="217"/>
      <c r="K323" s="217"/>
      <c r="L323" s="217"/>
      <c r="M323" s="217"/>
      <c r="N323" s="217"/>
      <c r="O323" s="217"/>
    </row>
    <row r="324" spans="1:256" ht="15" customHeight="1">
      <c r="A324" s="113" t="s">
        <v>109</v>
      </c>
      <c r="B324" s="114" t="s">
        <v>80</v>
      </c>
      <c r="C324" s="114" t="s">
        <v>168</v>
      </c>
      <c r="D324" s="114" t="s">
        <v>312</v>
      </c>
      <c r="E324" s="212" t="s">
        <v>68</v>
      </c>
      <c r="F324" s="114" t="s">
        <v>314</v>
      </c>
      <c r="G324" s="116" t="s">
        <v>112</v>
      </c>
      <c r="H324" s="128" t="s">
        <v>117</v>
      </c>
      <c r="I324" s="329"/>
      <c r="J324" s="217"/>
      <c r="K324" s="217"/>
      <c r="L324" s="217"/>
      <c r="M324" s="217"/>
      <c r="N324" s="217"/>
      <c r="O324" s="217"/>
      <c r="IU324" s="335"/>
      <c r="IV324" s="335"/>
    </row>
    <row r="325" spans="1:256" ht="15" customHeight="1">
      <c r="A325" s="192" t="s">
        <v>110</v>
      </c>
      <c r="B325" s="118"/>
      <c r="C325" s="118" t="s">
        <v>169</v>
      </c>
      <c r="D325" s="118" t="s">
        <v>313</v>
      </c>
      <c r="E325" s="118" t="s">
        <v>79</v>
      </c>
      <c r="F325" s="118" t="s">
        <v>170</v>
      </c>
      <c r="G325" s="119" t="s">
        <v>109</v>
      </c>
      <c r="H325" s="119" t="s">
        <v>118</v>
      </c>
      <c r="I325" s="330"/>
      <c r="J325" s="217"/>
      <c r="K325" s="217"/>
      <c r="L325" s="217"/>
      <c r="M325" s="217"/>
      <c r="N325" s="217"/>
      <c r="O325" s="217"/>
      <c r="IU325" s="335"/>
      <c r="IV325" s="335"/>
    </row>
    <row r="326" spans="1:256" ht="15" customHeight="1">
      <c r="A326" s="113" t="s">
        <v>111</v>
      </c>
      <c r="B326" s="114" t="s">
        <v>43</v>
      </c>
      <c r="C326" s="114" t="s">
        <v>311</v>
      </c>
      <c r="D326" s="114" t="s">
        <v>42</v>
      </c>
      <c r="E326" s="114" t="s">
        <v>42</v>
      </c>
      <c r="F326" s="114" t="s">
        <v>50</v>
      </c>
      <c r="G326" s="116" t="s">
        <v>113</v>
      </c>
      <c r="H326" s="114" t="s">
        <v>119</v>
      </c>
      <c r="I326" s="343"/>
      <c r="J326" s="217"/>
      <c r="K326" s="217"/>
      <c r="L326" s="217"/>
      <c r="M326" s="217"/>
      <c r="N326" s="217"/>
      <c r="O326" s="217"/>
      <c r="IU326" s="335"/>
      <c r="IV326" s="335"/>
    </row>
    <row r="327" spans="1:256" ht="15" customHeight="1">
      <c r="A327" s="353">
        <v>28</v>
      </c>
      <c r="B327" s="354">
        <v>7</v>
      </c>
      <c r="C327" s="354">
        <v>64</v>
      </c>
      <c r="D327" s="354">
        <v>2.5</v>
      </c>
      <c r="E327" s="355">
        <f>+C327*D327</f>
        <v>160</v>
      </c>
      <c r="F327" s="355">
        <f>+E327*(3600/B327)/1000</f>
        <v>82.285714285714292</v>
      </c>
      <c r="G327" s="356">
        <f>+A327/F327</f>
        <v>0.34027777777777773</v>
      </c>
      <c r="H327" s="357">
        <v>0.15</v>
      </c>
      <c r="I327" s="331"/>
      <c r="J327" s="217"/>
      <c r="K327" s="217"/>
      <c r="L327" s="217"/>
      <c r="M327" s="217"/>
      <c r="N327" s="217"/>
      <c r="O327" s="217"/>
      <c r="IU327" s="335"/>
      <c r="IV327" s="335"/>
    </row>
    <row r="328" spans="1:256">
      <c r="A328" s="346" t="s">
        <v>322</v>
      </c>
      <c r="B328" s="347"/>
      <c r="C328" s="347"/>
      <c r="D328" s="347"/>
      <c r="E328" s="348"/>
      <c r="F328" s="348"/>
      <c r="G328" s="348"/>
      <c r="H328" s="348"/>
      <c r="I328" s="349"/>
      <c r="J328" s="217"/>
      <c r="K328" s="217"/>
      <c r="L328" s="217"/>
      <c r="M328" s="217"/>
      <c r="N328" s="217"/>
      <c r="O328" s="217"/>
    </row>
    <row r="329" spans="1:256" ht="15" customHeight="1">
      <c r="A329" s="114" t="s">
        <v>17</v>
      </c>
      <c r="B329" s="114" t="s">
        <v>112</v>
      </c>
      <c r="C329" s="114" t="s">
        <v>84</v>
      </c>
      <c r="D329" s="114" t="s">
        <v>316</v>
      </c>
      <c r="E329" s="114"/>
      <c r="F329" s="114"/>
      <c r="G329" s="114"/>
      <c r="H329" s="114"/>
      <c r="I329" s="117"/>
      <c r="J329" s="221"/>
      <c r="K329" s="221"/>
      <c r="L329" s="217"/>
      <c r="M329" s="217"/>
      <c r="N329" s="217"/>
      <c r="O329" s="217"/>
    </row>
    <row r="330" spans="1:256" ht="15" customHeight="1">
      <c r="A330" s="118" t="s">
        <v>325</v>
      </c>
      <c r="B330" s="118" t="s">
        <v>326</v>
      </c>
      <c r="C330" s="118" t="s">
        <v>327</v>
      </c>
      <c r="D330" s="118" t="s">
        <v>317</v>
      </c>
      <c r="E330" s="118"/>
      <c r="F330" s="118"/>
      <c r="G330" s="118"/>
      <c r="H330" s="118"/>
      <c r="I330" s="120"/>
      <c r="J330" s="221"/>
      <c r="K330" s="221"/>
      <c r="L330" s="217"/>
      <c r="M330" s="217"/>
      <c r="N330" s="217"/>
      <c r="O330" s="217"/>
    </row>
    <row r="331" spans="1:256" ht="15" customHeight="1">
      <c r="A331" s="114" t="s">
        <v>192</v>
      </c>
      <c r="B331" s="114" t="s">
        <v>256</v>
      </c>
      <c r="C331" s="114" t="s">
        <v>111</v>
      </c>
      <c r="D331" s="114"/>
      <c r="E331" s="114"/>
      <c r="F331" s="114"/>
      <c r="G331" s="114"/>
      <c r="H331" s="114"/>
      <c r="I331" s="117"/>
      <c r="J331" s="221"/>
      <c r="K331" s="221"/>
      <c r="L331" s="217"/>
      <c r="M331" s="217"/>
      <c r="N331" s="217"/>
      <c r="O331" s="217"/>
    </row>
    <row r="332" spans="1:256" ht="15" customHeight="1">
      <c r="A332" s="358">
        <v>5</v>
      </c>
      <c r="B332" s="359">
        <v>0.4</v>
      </c>
      <c r="C332" s="360">
        <f>+A332*B332</f>
        <v>2</v>
      </c>
      <c r="D332" s="354">
        <v>5</v>
      </c>
      <c r="E332" s="360"/>
      <c r="F332" s="360"/>
      <c r="G332" s="360"/>
      <c r="H332" s="360"/>
      <c r="I332" s="361"/>
      <c r="J332" s="221"/>
      <c r="K332" s="221"/>
      <c r="L332" s="217"/>
      <c r="M332" s="217"/>
      <c r="N332" s="217"/>
      <c r="O332" s="217"/>
    </row>
    <row r="333" spans="1:256">
      <c r="A333" s="346" t="s">
        <v>324</v>
      </c>
      <c r="B333" s="350"/>
      <c r="C333" s="350"/>
      <c r="D333" s="350"/>
      <c r="E333" s="351"/>
      <c r="F333" s="351"/>
      <c r="G333" s="351"/>
      <c r="H333" s="351"/>
      <c r="I333" s="352"/>
      <c r="J333" s="217"/>
      <c r="K333" s="217"/>
      <c r="L333" s="217"/>
      <c r="M333" s="217"/>
      <c r="N333" s="217"/>
      <c r="O333" s="217"/>
    </row>
    <row r="334" spans="1:256">
      <c r="A334" s="322" t="s">
        <v>117</v>
      </c>
      <c r="B334" s="323" t="s">
        <v>114</v>
      </c>
      <c r="C334" s="323" t="s">
        <v>307</v>
      </c>
      <c r="D334" s="323" t="s">
        <v>114</v>
      </c>
      <c r="E334" s="323" t="s">
        <v>309</v>
      </c>
      <c r="F334" s="323"/>
      <c r="G334" s="323"/>
      <c r="H334" s="323" t="s">
        <v>81</v>
      </c>
      <c r="I334" s="329" t="s">
        <v>81</v>
      </c>
      <c r="J334" s="217"/>
      <c r="K334" s="217"/>
      <c r="L334" s="217"/>
      <c r="M334" s="217"/>
      <c r="N334" s="217"/>
      <c r="O334" s="217"/>
    </row>
    <row r="335" spans="1:256">
      <c r="A335" s="324" t="s">
        <v>305</v>
      </c>
      <c r="B335" s="325" t="s">
        <v>306</v>
      </c>
      <c r="C335" s="325" t="s">
        <v>308</v>
      </c>
      <c r="D335" s="325" t="s">
        <v>115</v>
      </c>
      <c r="E335" s="325" t="s">
        <v>310</v>
      </c>
      <c r="F335" s="325"/>
      <c r="G335" s="325"/>
      <c r="H335" s="325" t="s">
        <v>333</v>
      </c>
      <c r="I335" s="330" t="s">
        <v>332</v>
      </c>
      <c r="J335" s="217"/>
      <c r="K335" s="217"/>
      <c r="L335" s="217"/>
      <c r="M335" s="217"/>
      <c r="N335" s="217"/>
      <c r="O335" s="217"/>
    </row>
    <row r="336" spans="1:256">
      <c r="A336" s="322" t="s">
        <v>119</v>
      </c>
      <c r="B336" s="323" t="s">
        <v>114</v>
      </c>
      <c r="C336" s="323" t="s">
        <v>307</v>
      </c>
      <c r="D336" s="323" t="s">
        <v>120</v>
      </c>
      <c r="E336" s="323" t="s">
        <v>309</v>
      </c>
      <c r="F336" s="344"/>
      <c r="G336" s="344"/>
      <c r="H336" s="116" t="s">
        <v>331</v>
      </c>
      <c r="I336" s="345" t="s">
        <v>331</v>
      </c>
      <c r="J336" s="217"/>
      <c r="K336" s="217"/>
      <c r="L336" s="217"/>
      <c r="M336" s="217"/>
      <c r="N336" s="217"/>
      <c r="O336" s="217"/>
    </row>
    <row r="337" spans="1:15">
      <c r="A337" s="362">
        <v>230000</v>
      </c>
      <c r="B337" s="363">
        <v>24</v>
      </c>
      <c r="C337" s="363">
        <v>350</v>
      </c>
      <c r="D337" s="355">
        <f>+B337*C337</f>
        <v>8400</v>
      </c>
      <c r="E337" s="354">
        <v>3</v>
      </c>
      <c r="F337" s="326"/>
      <c r="G337" s="326"/>
      <c r="H337" s="364">
        <f>+C327*(3600/B327)*B337</f>
        <v>789942.85714285728</v>
      </c>
      <c r="I337" s="365">
        <f>+C327*(3600/B327)*D337</f>
        <v>276480000</v>
      </c>
      <c r="J337" s="217"/>
      <c r="K337" s="217"/>
      <c r="L337" s="217"/>
      <c r="M337" s="217"/>
      <c r="N337" s="217"/>
      <c r="O337" s="217"/>
    </row>
    <row r="338" spans="1:15">
      <c r="A338" s="346" t="s">
        <v>321</v>
      </c>
      <c r="B338" s="347"/>
      <c r="C338" s="347"/>
      <c r="D338" s="347"/>
      <c r="E338" s="348"/>
      <c r="F338" s="348"/>
      <c r="G338" s="348"/>
      <c r="H338" s="348"/>
      <c r="I338" s="349"/>
      <c r="J338" s="217"/>
      <c r="K338" s="217"/>
      <c r="L338" s="217"/>
      <c r="M338" s="217"/>
      <c r="N338" s="217"/>
      <c r="O338" s="217"/>
    </row>
    <row r="339" spans="1:15" ht="15" customHeight="1">
      <c r="A339" s="114" t="s">
        <v>174</v>
      </c>
      <c r="B339" s="114" t="s">
        <v>174</v>
      </c>
      <c r="C339" s="114" t="s">
        <v>82</v>
      </c>
      <c r="D339" s="114" t="s">
        <v>253</v>
      </c>
      <c r="E339" s="114" t="s">
        <v>253</v>
      </c>
      <c r="F339" s="114" t="s">
        <v>84</v>
      </c>
      <c r="G339" s="114" t="s">
        <v>84</v>
      </c>
      <c r="H339" s="114" t="s">
        <v>84</v>
      </c>
      <c r="I339" s="117" t="s">
        <v>316</v>
      </c>
      <c r="J339" s="221"/>
      <c r="K339" s="221"/>
      <c r="L339" s="217"/>
      <c r="M339" s="217"/>
      <c r="N339" s="217"/>
      <c r="O339" s="217"/>
    </row>
    <row r="340" spans="1:15" ht="15" customHeight="1">
      <c r="A340" s="118" t="s">
        <v>251</v>
      </c>
      <c r="B340" s="118" t="s">
        <v>257</v>
      </c>
      <c r="C340" s="118"/>
      <c r="D340" s="118" t="s">
        <v>315</v>
      </c>
      <c r="E340" s="118" t="s">
        <v>254</v>
      </c>
      <c r="F340" s="118" t="s">
        <v>169</v>
      </c>
      <c r="G340" s="118" t="s">
        <v>169</v>
      </c>
      <c r="H340" s="118" t="s">
        <v>255</v>
      </c>
      <c r="I340" s="120" t="s">
        <v>317</v>
      </c>
      <c r="J340" s="221"/>
      <c r="K340" s="221"/>
      <c r="L340" s="217"/>
      <c r="M340" s="217"/>
      <c r="N340" s="217"/>
      <c r="O340" s="217"/>
    </row>
    <row r="341" spans="1:15" ht="15" customHeight="1">
      <c r="A341" s="114" t="s">
        <v>111</v>
      </c>
      <c r="B341" s="114" t="s">
        <v>256</v>
      </c>
      <c r="C341" s="114" t="s">
        <v>83</v>
      </c>
      <c r="D341" s="114" t="s">
        <v>72</v>
      </c>
      <c r="E341" s="114" t="s">
        <v>72</v>
      </c>
      <c r="F341" s="114" t="s">
        <v>54</v>
      </c>
      <c r="G341" s="114" t="s">
        <v>111</v>
      </c>
      <c r="H341" s="114" t="s">
        <v>111</v>
      </c>
      <c r="I341" s="117"/>
      <c r="J341" s="221"/>
      <c r="K341" s="221"/>
      <c r="L341" s="217"/>
      <c r="M341" s="217"/>
      <c r="N341" s="217"/>
      <c r="O341" s="217"/>
    </row>
    <row r="342" spans="1:15" ht="15" customHeight="1">
      <c r="A342" s="358">
        <v>50</v>
      </c>
      <c r="B342" s="359">
        <v>0.6</v>
      </c>
      <c r="C342" s="358">
        <v>0.84</v>
      </c>
      <c r="D342" s="358">
        <v>50</v>
      </c>
      <c r="E342" s="358">
        <v>220</v>
      </c>
      <c r="F342" s="360">
        <f>+C342*0.238845*F327*(E342-D342)</f>
        <v>2806.5242880000005</v>
      </c>
      <c r="G342" s="360">
        <f>+F342/860</f>
        <v>3.2634003348837215</v>
      </c>
      <c r="H342" s="360">
        <f>+A342*B342+G342</f>
        <v>33.26340033488372</v>
      </c>
      <c r="I342" s="366">
        <v>5</v>
      </c>
      <c r="J342" s="221"/>
      <c r="K342" s="221"/>
      <c r="L342" s="217"/>
      <c r="M342" s="217"/>
      <c r="N342" s="217"/>
      <c r="O342" s="217"/>
    </row>
    <row r="343" spans="1:15">
      <c r="A343" s="346" t="s">
        <v>318</v>
      </c>
      <c r="B343" s="350"/>
      <c r="C343" s="350"/>
      <c r="D343" s="350"/>
      <c r="E343" s="351"/>
      <c r="F343" s="351"/>
      <c r="G343" s="351"/>
      <c r="H343" s="351"/>
      <c r="I343" s="352"/>
      <c r="J343" s="217"/>
      <c r="K343" s="217"/>
      <c r="L343" s="217"/>
      <c r="M343" s="217"/>
      <c r="N343" s="217"/>
      <c r="O343" s="217"/>
    </row>
    <row r="344" spans="1:15">
      <c r="A344" s="322" t="s">
        <v>109</v>
      </c>
      <c r="B344" s="323" t="s">
        <v>84</v>
      </c>
      <c r="C344" s="323" t="s">
        <v>117</v>
      </c>
      <c r="D344" s="323" t="s">
        <v>84</v>
      </c>
      <c r="E344" s="323"/>
      <c r="F344" s="323" t="s">
        <v>117</v>
      </c>
      <c r="G344" s="323"/>
      <c r="H344" s="323"/>
      <c r="I344" s="332" t="s">
        <v>117</v>
      </c>
      <c r="J344" s="217"/>
      <c r="K344" s="217"/>
      <c r="L344" s="217"/>
      <c r="M344" s="217"/>
      <c r="N344" s="217"/>
      <c r="O344" s="217"/>
    </row>
    <row r="345" spans="1:15">
      <c r="A345" s="324" t="s">
        <v>319</v>
      </c>
      <c r="B345" s="325" t="s">
        <v>328</v>
      </c>
      <c r="C345" s="325" t="s">
        <v>310</v>
      </c>
      <c r="D345" s="325" t="s">
        <v>252</v>
      </c>
      <c r="E345" s="325"/>
      <c r="F345" s="325" t="s">
        <v>320</v>
      </c>
      <c r="G345" s="325"/>
      <c r="H345" s="325"/>
      <c r="I345" s="333" t="s">
        <v>330</v>
      </c>
      <c r="J345" s="217"/>
      <c r="K345" s="217"/>
      <c r="L345" s="217"/>
      <c r="M345" s="217"/>
      <c r="N345" s="217"/>
      <c r="O345" s="217"/>
    </row>
    <row r="346" spans="1:15">
      <c r="A346" s="322" t="s">
        <v>329</v>
      </c>
      <c r="B346" s="323" t="s">
        <v>329</v>
      </c>
      <c r="C346" s="323" t="s">
        <v>329</v>
      </c>
      <c r="D346" s="323" t="s">
        <v>329</v>
      </c>
      <c r="E346" s="344"/>
      <c r="F346" s="323" t="s">
        <v>329</v>
      </c>
      <c r="G346" s="344"/>
      <c r="H346" s="344"/>
      <c r="I346" s="332" t="s">
        <v>119</v>
      </c>
      <c r="J346" s="217"/>
      <c r="K346" s="217"/>
      <c r="L346" s="217"/>
      <c r="M346" s="217"/>
      <c r="N346" s="217"/>
      <c r="O346" s="217"/>
    </row>
    <row r="347" spans="1:15" ht="15" thickBot="1">
      <c r="A347" s="367">
        <f>+G327*F327*H327</f>
        <v>4.2</v>
      </c>
      <c r="B347" s="367">
        <f>+C332*H327/D332</f>
        <v>0.06</v>
      </c>
      <c r="C347" s="367">
        <f>+A337/(D337*E337)</f>
        <v>9.1269841269841265</v>
      </c>
      <c r="D347" s="367">
        <f>+H327*H342/I342</f>
        <v>0.99790201004651158</v>
      </c>
      <c r="E347" s="368"/>
      <c r="F347" s="367">
        <f>+A347+B347++C347+D347</f>
        <v>14.384886137030637</v>
      </c>
      <c r="G347" s="368"/>
      <c r="H347" s="368"/>
      <c r="I347" s="369">
        <f>+F347/(C327*(3600/B327))</f>
        <v>4.3704081145492385E-4</v>
      </c>
      <c r="J347" s="217"/>
      <c r="K347" s="217"/>
      <c r="L347" s="217"/>
      <c r="M347" s="217"/>
      <c r="N347" s="217"/>
      <c r="O347" s="217"/>
    </row>
    <row r="348" spans="1:15" ht="15" thickTop="1"/>
  </sheetData>
  <sheetProtection password="CCA5" sheet="1" objects="1" scenarios="1"/>
  <sortState ref="A97:C110">
    <sortCondition ref="A97:A110"/>
  </sortState>
  <mergeCells count="1">
    <mergeCell ref="A46:D46"/>
  </mergeCells>
  <phoneticPr fontId="14" type="noConversion"/>
  <pageMargins left="0.5" right="0.31" top="0.95000000000000007" bottom="0.36000000000000004" header="0.5" footer="0.30000000000000004"/>
  <pageSetup paperSize="9" scale="72" fitToHeight="6" orientation="portrait" horizontalDpi="4294967292" verticalDpi="4294967292"/>
  <headerFooter alignWithMargins="0">
    <oddHeader>&amp;C&amp;"Calibri,Grassetto"&amp;16&amp;K538DD5&amp;A&amp;R&amp;14&amp;K538DD5Pagina &amp;P</oddHeader>
  </headerFooter>
  <drawing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GART-MP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Flavio Fabbrigiotti</cp:lastModifiedBy>
  <cp:lastPrinted>2016-11-10T14:58:56Z</cp:lastPrinted>
  <dcterms:created xsi:type="dcterms:W3CDTF">2014-12-11T20:41:47Z</dcterms:created>
  <dcterms:modified xsi:type="dcterms:W3CDTF">2017-09-28T07:57:58Z</dcterms:modified>
</cp:coreProperties>
</file>