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checkCompatibility="1" autoCompressPictures="0"/>
  <bookViews>
    <workbookView xWindow="7600" yWindow="0" windowWidth="22520" windowHeight="20120"/>
  </bookViews>
  <sheets>
    <sheet name="GART-MP" sheetId="2" r:id="rId1"/>
  </sheets>
  <definedNames>
    <definedName name="_xlnm.Print_Area" localSheetId="0">'GART-MP'!$A$2:$N$331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9" i="2" l="1"/>
  <c r="D52" i="2"/>
  <c r="D288" i="2"/>
  <c r="D289" i="2"/>
  <c r="D290" i="2"/>
  <c r="D291" i="2"/>
  <c r="D294" i="2"/>
  <c r="D293" i="2"/>
  <c r="D292" i="2"/>
  <c r="D287" i="2"/>
  <c r="A294" i="2"/>
  <c r="A293" i="2"/>
  <c r="A292" i="2"/>
  <c r="A291" i="2"/>
  <c r="A290" i="2"/>
  <c r="A289" i="2"/>
  <c r="A288" i="2"/>
  <c r="A287" i="2"/>
  <c r="D348" i="2"/>
  <c r="C358" i="2"/>
  <c r="H348" i="2"/>
  <c r="I348" i="2"/>
  <c r="D358" i="2"/>
  <c r="C343" i="2"/>
  <c r="B358" i="2"/>
  <c r="G338" i="2"/>
  <c r="A358" i="2"/>
  <c r="F358" i="2"/>
  <c r="I358" i="2"/>
  <c r="F338" i="2"/>
  <c r="F353" i="2"/>
  <c r="G353" i="2"/>
  <c r="H353" i="2"/>
  <c r="E338" i="2"/>
  <c r="H83" i="2"/>
  <c r="A83" i="2"/>
  <c r="E33" i="2"/>
  <c r="C33" i="2"/>
  <c r="D117" i="2"/>
  <c r="F117" i="2"/>
  <c r="A117" i="2"/>
  <c r="I117" i="2"/>
  <c r="D118" i="2"/>
  <c r="A118" i="2"/>
  <c r="F118" i="2"/>
  <c r="I118" i="2"/>
  <c r="D119" i="2"/>
  <c r="F119" i="2"/>
  <c r="A119" i="2"/>
  <c r="G119" i="2"/>
  <c r="G116" i="2"/>
  <c r="H119" i="2"/>
  <c r="D116" i="2"/>
  <c r="H116" i="2"/>
  <c r="E111" i="2"/>
  <c r="E110" i="2"/>
  <c r="D111" i="2"/>
  <c r="D110" i="2"/>
  <c r="A247" i="2"/>
  <c r="C245" i="2"/>
  <c r="A245" i="2"/>
  <c r="A246" i="2"/>
  <c r="C247" i="2"/>
  <c r="B247" i="2"/>
  <c r="D246" i="2"/>
  <c r="B246" i="2"/>
  <c r="D245" i="2"/>
  <c r="D244" i="2"/>
  <c r="C244" i="2"/>
  <c r="B244" i="2"/>
  <c r="A219" i="2"/>
  <c r="B219" i="2"/>
  <c r="C219" i="2"/>
  <c r="B225" i="2"/>
  <c r="C225" i="2"/>
  <c r="F225" i="2"/>
  <c r="A226" i="2"/>
  <c r="F226" i="2"/>
  <c r="A227" i="2"/>
  <c r="F227" i="2"/>
  <c r="A228" i="2"/>
  <c r="F228" i="2"/>
  <c r="A229" i="2"/>
  <c r="F229" i="2"/>
  <c r="B227" i="2"/>
  <c r="B228" i="2"/>
  <c r="B229" i="2"/>
  <c r="A230" i="2"/>
  <c r="E221" i="2"/>
  <c r="B221" i="2"/>
  <c r="A221" i="2"/>
  <c r="C221" i="2"/>
  <c r="D221" i="2"/>
  <c r="F220" i="2"/>
  <c r="E217" i="2"/>
  <c r="F217" i="2"/>
  <c r="A218" i="2"/>
  <c r="B218" i="2"/>
  <c r="E218" i="2"/>
  <c r="F218" i="2"/>
  <c r="E219" i="2"/>
  <c r="F219" i="2"/>
  <c r="B216" i="2"/>
  <c r="E216" i="2"/>
  <c r="F216" i="2"/>
  <c r="A217" i="2"/>
  <c r="B220" i="2"/>
  <c r="A220" i="2"/>
  <c r="D216" i="2"/>
  <c r="D217" i="2"/>
  <c r="D218" i="2"/>
  <c r="D220" i="2"/>
  <c r="C220" i="2"/>
  <c r="B230" i="2"/>
  <c r="C230" i="2"/>
  <c r="D230" i="2"/>
  <c r="E230" i="2"/>
  <c r="E226" i="2"/>
  <c r="E225" i="2"/>
  <c r="C216" i="2"/>
  <c r="C217" i="2"/>
  <c r="D226" i="2"/>
  <c r="D225" i="2"/>
  <c r="C226" i="2"/>
  <c r="E308" i="2"/>
  <c r="K308" i="2"/>
  <c r="E309" i="2"/>
  <c r="K309" i="2"/>
  <c r="E307" i="2"/>
  <c r="K307" i="2"/>
  <c r="A11" i="2"/>
  <c r="A12" i="2"/>
  <c r="B10" i="2"/>
  <c r="A10" i="2"/>
  <c r="A212" i="2"/>
  <c r="B212" i="2"/>
  <c r="D211" i="2"/>
  <c r="C211" i="2"/>
  <c r="A211" i="2"/>
  <c r="B211" i="2"/>
  <c r="C210" i="2"/>
  <c r="A210" i="2"/>
  <c r="B210" i="2"/>
  <c r="A209" i="2"/>
  <c r="B209" i="2"/>
  <c r="B207" i="2"/>
  <c r="C207" i="2"/>
  <c r="C208" i="2"/>
  <c r="C212" i="2"/>
  <c r="F211" i="2"/>
  <c r="F207" i="2"/>
  <c r="E210" i="2"/>
  <c r="F210" i="2"/>
  <c r="D209" i="2"/>
  <c r="E209" i="2"/>
  <c r="F209" i="2"/>
  <c r="D185" i="2"/>
  <c r="G185" i="2"/>
  <c r="B281" i="2"/>
  <c r="A282" i="2"/>
  <c r="H44" i="2"/>
  <c r="H43" i="2"/>
  <c r="C83" i="2"/>
  <c r="A91" i="2"/>
  <c r="F91" i="2"/>
  <c r="A90" i="2"/>
  <c r="F90" i="2"/>
  <c r="A89" i="2"/>
  <c r="F89" i="2"/>
  <c r="A88" i="2"/>
  <c r="F88" i="2"/>
  <c r="G88" i="2"/>
  <c r="G89" i="2"/>
  <c r="G90" i="2"/>
  <c r="G91" i="2"/>
  <c r="H88" i="2"/>
  <c r="H89" i="2"/>
  <c r="H90" i="2"/>
  <c r="H91" i="2"/>
  <c r="A87" i="2"/>
  <c r="F87" i="2"/>
  <c r="G87" i="2"/>
  <c r="H87" i="2"/>
  <c r="E77" i="2"/>
  <c r="F76" i="2"/>
  <c r="G43" i="2"/>
  <c r="G44" i="2"/>
  <c r="C71" i="2"/>
  <c r="G71" i="2"/>
  <c r="G70" i="2"/>
  <c r="C69" i="2"/>
  <c r="G69" i="2"/>
  <c r="F70" i="2"/>
  <c r="A70" i="2"/>
  <c r="F69" i="2"/>
  <c r="B240" i="2"/>
  <c r="E240" i="2"/>
  <c r="F240" i="2"/>
  <c r="D240" i="2"/>
  <c r="C240" i="2"/>
  <c r="A240" i="2"/>
  <c r="B239" i="2"/>
  <c r="G239" i="2"/>
  <c r="E239" i="2"/>
  <c r="D239" i="2"/>
  <c r="C239" i="2"/>
  <c r="A239" i="2"/>
  <c r="B238" i="2"/>
  <c r="G238" i="2"/>
  <c r="F238" i="2"/>
  <c r="D238" i="2"/>
  <c r="C238" i="2"/>
  <c r="A238" i="2"/>
  <c r="B237" i="2"/>
  <c r="G237" i="2"/>
  <c r="E237" i="2"/>
  <c r="F237" i="2"/>
  <c r="C237" i="2"/>
  <c r="A237" i="2"/>
  <c r="B236" i="2"/>
  <c r="G236" i="2"/>
  <c r="E236" i="2"/>
  <c r="F236" i="2"/>
  <c r="D236" i="2"/>
  <c r="A236" i="2"/>
  <c r="G235" i="2"/>
  <c r="E235" i="2"/>
  <c r="F235" i="2"/>
  <c r="D235" i="2"/>
  <c r="C235" i="2"/>
  <c r="A235" i="2"/>
  <c r="B234" i="2"/>
  <c r="G234" i="2"/>
  <c r="E234" i="2"/>
  <c r="F234" i="2"/>
  <c r="D234" i="2"/>
  <c r="C234" i="2"/>
  <c r="D207" i="2"/>
  <c r="E207" i="2"/>
  <c r="A166" i="2"/>
  <c r="F163" i="2"/>
  <c r="F165" i="2"/>
  <c r="F166" i="2"/>
  <c r="A167" i="2"/>
  <c r="B166" i="2"/>
  <c r="B167" i="2"/>
  <c r="C166" i="2"/>
  <c r="C167" i="2"/>
  <c r="D166" i="2"/>
  <c r="D167" i="2"/>
  <c r="E166" i="2"/>
  <c r="E167" i="2"/>
  <c r="F167" i="2"/>
  <c r="A164" i="2"/>
  <c r="B164" i="2"/>
  <c r="C164" i="2"/>
  <c r="D164" i="2"/>
  <c r="E164" i="2"/>
  <c r="F164" i="2"/>
  <c r="A174" i="2"/>
  <c r="F171" i="2"/>
  <c r="F173" i="2"/>
  <c r="F174" i="2"/>
  <c r="A175" i="2"/>
  <c r="B174" i="2"/>
  <c r="B175" i="2"/>
  <c r="C174" i="2"/>
  <c r="C175" i="2"/>
  <c r="D174" i="2"/>
  <c r="D175" i="2"/>
  <c r="E174" i="2"/>
  <c r="E175" i="2"/>
  <c r="F175" i="2"/>
  <c r="A172" i="2"/>
  <c r="B172" i="2"/>
  <c r="C172" i="2"/>
  <c r="D172" i="2"/>
  <c r="E172" i="2"/>
  <c r="F172" i="2"/>
  <c r="D180" i="2"/>
  <c r="G180" i="2"/>
  <c r="C102" i="2"/>
  <c r="A102" i="2"/>
  <c r="O308" i="2"/>
  <c r="O309" i="2"/>
  <c r="O307" i="2"/>
  <c r="I309" i="2"/>
  <c r="M309" i="2"/>
  <c r="N309" i="2"/>
  <c r="I308" i="2"/>
  <c r="M308" i="2"/>
  <c r="N308" i="2"/>
  <c r="I307" i="2"/>
  <c r="M307" i="2"/>
  <c r="N307" i="2"/>
  <c r="A301" i="2"/>
  <c r="E300" i="2"/>
  <c r="B300" i="2"/>
  <c r="G300" i="2"/>
  <c r="I300" i="2"/>
  <c r="C11" i="2"/>
  <c r="C77" i="2"/>
  <c r="G77" i="2"/>
  <c r="C76" i="2"/>
  <c r="G76" i="2"/>
  <c r="D38" i="2"/>
  <c r="E301" i="2"/>
  <c r="G301" i="2"/>
  <c r="I301" i="2"/>
  <c r="B275" i="2"/>
  <c r="A276" i="2"/>
  <c r="A257" i="2"/>
  <c r="D257" i="2"/>
  <c r="C257" i="2"/>
  <c r="B257" i="2"/>
  <c r="A256" i="2"/>
  <c r="E256" i="2"/>
  <c r="C256" i="2"/>
  <c r="B256" i="2"/>
  <c r="A255" i="2"/>
  <c r="E255" i="2"/>
  <c r="D255" i="2"/>
  <c r="B255" i="2"/>
  <c r="A254" i="2"/>
  <c r="E254" i="2"/>
  <c r="D254" i="2"/>
  <c r="C254" i="2"/>
  <c r="E253" i="2"/>
  <c r="D253" i="2"/>
  <c r="C253" i="2"/>
  <c r="B253" i="2"/>
  <c r="A271" i="2"/>
  <c r="C271" i="2"/>
  <c r="B271" i="2"/>
  <c r="A270" i="2"/>
  <c r="D270" i="2"/>
  <c r="B270" i="2"/>
  <c r="A269" i="2"/>
  <c r="D269" i="2"/>
  <c r="C269" i="2"/>
  <c r="D268" i="2"/>
  <c r="C268" i="2"/>
  <c r="B268" i="2"/>
  <c r="A264" i="2"/>
  <c r="C264" i="2"/>
  <c r="B264" i="2"/>
  <c r="A263" i="2"/>
  <c r="D263" i="2"/>
  <c r="B263" i="2"/>
  <c r="A262" i="2"/>
  <c r="D262" i="2"/>
  <c r="C262" i="2"/>
  <c r="D261" i="2"/>
  <c r="C261" i="2"/>
  <c r="B261" i="2"/>
  <c r="F192" i="2"/>
  <c r="B197" i="2"/>
  <c r="C192" i="2"/>
  <c r="D192" i="2"/>
  <c r="C197" i="2"/>
  <c r="D197" i="2"/>
  <c r="E197" i="2"/>
  <c r="F202" i="2"/>
  <c r="E202" i="2"/>
  <c r="H202" i="2"/>
  <c r="I202" i="2"/>
  <c r="G202" i="2"/>
  <c r="G192" i="2"/>
  <c r="A197" i="2"/>
  <c r="F197" i="2"/>
  <c r="E192" i="2"/>
  <c r="B140" i="2"/>
  <c r="A139" i="2"/>
  <c r="D134" i="2"/>
  <c r="E134" i="2"/>
  <c r="E133" i="2"/>
  <c r="C133" i="2"/>
  <c r="B132" i="2"/>
  <c r="E132" i="2"/>
  <c r="E131" i="2"/>
  <c r="A131" i="2"/>
  <c r="C126" i="2"/>
  <c r="B125" i="2"/>
  <c r="A124" i="2"/>
  <c r="F116" i="2"/>
  <c r="I116" i="2"/>
  <c r="C105" i="2"/>
  <c r="E105" i="2"/>
  <c r="E104" i="2"/>
  <c r="B104" i="2"/>
  <c r="E103" i="2"/>
  <c r="A103" i="2"/>
  <c r="C97" i="2"/>
  <c r="D97" i="2"/>
  <c r="B97" i="2"/>
  <c r="A96" i="2"/>
  <c r="C96" i="2"/>
  <c r="D96" i="2"/>
  <c r="E83" i="2"/>
  <c r="C49" i="2"/>
  <c r="E44" i="2"/>
  <c r="F44" i="2"/>
  <c r="E43" i="2"/>
  <c r="A43" i="2"/>
  <c r="A33" i="2"/>
  <c r="H33" i="2"/>
  <c r="F33" i="2"/>
  <c r="H32" i="2"/>
  <c r="F32" i="2"/>
  <c r="D32" i="2"/>
  <c r="D26" i="2"/>
  <c r="C25" i="2"/>
  <c r="B24" i="2"/>
  <c r="A23" i="2"/>
  <c r="D19" i="2"/>
  <c r="C18" i="2"/>
  <c r="B17" i="2"/>
  <c r="A16" i="2"/>
  <c r="D12" i="2"/>
  <c r="A71" i="2"/>
  <c r="D212" i="2"/>
  <c r="E212" i="2"/>
  <c r="A208" i="2"/>
  <c r="F208" i="2"/>
  <c r="D208" i="2"/>
  <c r="E208" i="2"/>
  <c r="C229" i="2"/>
  <c r="C228" i="2"/>
  <c r="D229" i="2"/>
  <c r="E228" i="2"/>
  <c r="D227" i="2"/>
  <c r="E227" i="2"/>
  <c r="G118" i="2"/>
  <c r="H117" i="2"/>
</calcChain>
</file>

<file path=xl/comments1.xml><?xml version="1.0" encoding="utf-8"?>
<comments xmlns="http://schemas.openxmlformats.org/spreadsheetml/2006/main">
  <authors>
    <author>Flavio Fabbrigiotti</author>
  </authors>
  <commentList>
    <comment ref="C353" authorId="0">
      <text>
        <r>
          <rPr>
            <b/>
            <sz val="9"/>
            <color indexed="81"/>
            <rFont val="Calibri"/>
          </rPr>
          <t>PP  0,84
ABS 1,4
PA6 1,8
PS  1,3</t>
        </r>
      </text>
    </comment>
  </commentList>
</comments>
</file>

<file path=xl/sharedStrings.xml><?xml version="1.0" encoding="utf-8"?>
<sst xmlns="http://schemas.openxmlformats.org/spreadsheetml/2006/main" count="664" uniqueCount="354">
  <si>
    <t>Potenza di un motore</t>
  </si>
  <si>
    <t>Nm</t>
  </si>
  <si>
    <t>rpm</t>
  </si>
  <si>
    <t>corrente trifase assorbita</t>
  </si>
  <si>
    <t>A</t>
  </si>
  <si>
    <t>V</t>
  </si>
  <si>
    <t>cos(fi)</t>
  </si>
  <si>
    <t>corrente monofase assorbita</t>
  </si>
  <si>
    <t>diagonale fra colonne</t>
  </si>
  <si>
    <t>pass.H</t>
  </si>
  <si>
    <t>pass.V</t>
  </si>
  <si>
    <t>diagonale</t>
  </si>
  <si>
    <t>spess.</t>
  </si>
  <si>
    <t>gr/sec</t>
  </si>
  <si>
    <t>velocità periferica vite</t>
  </si>
  <si>
    <t>mm/s</t>
  </si>
  <si>
    <t>D(vite)</t>
  </si>
  <si>
    <t>potenza</t>
  </si>
  <si>
    <t>Hp</t>
  </si>
  <si>
    <t>kcal/h</t>
  </si>
  <si>
    <t>KJ/h</t>
  </si>
  <si>
    <t>kcal</t>
  </si>
  <si>
    <t>KJ</t>
  </si>
  <si>
    <t>BTU</t>
  </si>
  <si>
    <t>atm</t>
  </si>
  <si>
    <t>m H2O</t>
  </si>
  <si>
    <t>mm Hg</t>
  </si>
  <si>
    <t>PSI</t>
  </si>
  <si>
    <t>bar</t>
  </si>
  <si>
    <t>temperatura</t>
  </si>
  <si>
    <t>F</t>
  </si>
  <si>
    <t>area cerchio</t>
  </si>
  <si>
    <t>cavo</t>
  </si>
  <si>
    <t>Kw</t>
  </si>
  <si>
    <t>mmq</t>
  </si>
  <si>
    <t>A/mmq</t>
  </si>
  <si>
    <t>mt</t>
  </si>
  <si>
    <t>-&gt;</t>
  </si>
  <si>
    <t>Volume di iniezione</t>
  </si>
  <si>
    <t>cm3</t>
  </si>
  <si>
    <t>mm</t>
  </si>
  <si>
    <t>densità</t>
  </si>
  <si>
    <t>gr</t>
  </si>
  <si>
    <t>sec</t>
  </si>
  <si>
    <t>mm/sec</t>
  </si>
  <si>
    <t>pieno</t>
  </si>
  <si>
    <t>comp.1</t>
  </si>
  <si>
    <t>comp.2</t>
  </si>
  <si>
    <t>miscela</t>
  </si>
  <si>
    <t>volume</t>
  </si>
  <si>
    <t>kg/h</t>
  </si>
  <si>
    <t>Kwh</t>
  </si>
  <si>
    <t>minuti</t>
  </si>
  <si>
    <t>materiale</t>
  </si>
  <si>
    <t>frigorie/h</t>
  </si>
  <si>
    <t>PP</t>
  </si>
  <si>
    <t>ABS</t>
  </si>
  <si>
    <t>PA6</t>
  </si>
  <si>
    <t>PS</t>
  </si>
  <si>
    <t>allungam.</t>
  </si>
  <si>
    <t>lunghezza</t>
  </si>
  <si>
    <t>tons</t>
  </si>
  <si>
    <t>diam.col.</t>
  </si>
  <si>
    <t>mod.elast.</t>
  </si>
  <si>
    <t>Mpa</t>
  </si>
  <si>
    <t>coppia</t>
  </si>
  <si>
    <t>vel.rot.</t>
  </si>
  <si>
    <t>kg</t>
  </si>
  <si>
    <t>peso</t>
  </si>
  <si>
    <t>altezza</t>
  </si>
  <si>
    <t>larghezza</t>
  </si>
  <si>
    <t>tempo</t>
  </si>
  <si>
    <t>°C</t>
  </si>
  <si>
    <t>temp.amb.</t>
  </si>
  <si>
    <t>temp.st.</t>
  </si>
  <si>
    <t>chiusura</t>
  </si>
  <si>
    <t>iniziale</t>
  </si>
  <si>
    <t>riscald.</t>
  </si>
  <si>
    <t>capacità massima di plastificazione</t>
  </si>
  <si>
    <t>stampata</t>
  </si>
  <si>
    <t>ciclo</t>
  </si>
  <si>
    <t>produzione</t>
  </si>
  <si>
    <t>cal.spec.</t>
  </si>
  <si>
    <t>kJ/kg K</t>
  </si>
  <si>
    <t>raffredd.</t>
  </si>
  <si>
    <t>?</t>
  </si>
  <si>
    <t>tipo</t>
  </si>
  <si>
    <t>trafila</t>
  </si>
  <si>
    <t>plastif.</t>
  </si>
  <si>
    <t>CONVERSIONI</t>
  </si>
  <si>
    <t>di acqua</t>
  </si>
  <si>
    <t>metri</t>
  </si>
  <si>
    <t>mm di</t>
  </si>
  <si>
    <t>mercurio</t>
  </si>
  <si>
    <t>libbre su</t>
  </si>
  <si>
    <t>C</t>
  </si>
  <si>
    <t>superficie</t>
  </si>
  <si>
    <t>p. su mat.</t>
  </si>
  <si>
    <t>p. su olio</t>
  </si>
  <si>
    <t>pressione sul materiale in relazione alle viti</t>
  </si>
  <si>
    <t>vite media</t>
  </si>
  <si>
    <t>vite 2</t>
  </si>
  <si>
    <t>pressione sul materiale in relazione a pistone iniez.</t>
  </si>
  <si>
    <t>vel.perif.</t>
  </si>
  <si>
    <t>diametro</t>
  </si>
  <si>
    <t>corsa</t>
  </si>
  <si>
    <t>vel.media</t>
  </si>
  <si>
    <t>KN</t>
  </si>
  <si>
    <t>consumi elettrici</t>
  </si>
  <si>
    <t>consumo</t>
  </si>
  <si>
    <t>orario</t>
  </si>
  <si>
    <t>kWh</t>
  </si>
  <si>
    <t>coeff.</t>
  </si>
  <si>
    <t>kWh/kg</t>
  </si>
  <si>
    <t>ore</t>
  </si>
  <si>
    <t>annue</t>
  </si>
  <si>
    <t>annuo</t>
  </si>
  <si>
    <t>costo</t>
  </si>
  <si>
    <t>1 kWh</t>
  </si>
  <si>
    <t>€</t>
  </si>
  <si>
    <t>h</t>
  </si>
  <si>
    <t>tensione</t>
  </si>
  <si>
    <t>assorbim.</t>
  </si>
  <si>
    <t>ammesso</t>
  </si>
  <si>
    <t>sezione</t>
  </si>
  <si>
    <t>standard</t>
  </si>
  <si>
    <t>minima</t>
  </si>
  <si>
    <t>da</t>
  </si>
  <si>
    <t>tabella</t>
  </si>
  <si>
    <t>GEOMETRIA DELLA VITE:</t>
  </si>
  <si>
    <t>L/D</t>
  </si>
  <si>
    <t>passo</t>
  </si>
  <si>
    <t>medio</t>
  </si>
  <si>
    <t>filetto</t>
  </si>
  <si>
    <t>vite</t>
  </si>
  <si>
    <t>iniez.</t>
  </si>
  <si>
    <t>CALCOLO DEI VOLUMI:</t>
  </si>
  <si>
    <t>vol. max</t>
  </si>
  <si>
    <t>vol. vite +</t>
  </si>
  <si>
    <t>vol.nocc.</t>
  </si>
  <si>
    <t>vol. mat.</t>
  </si>
  <si>
    <t>vol.mat.</t>
  </si>
  <si>
    <t>iniettab.</t>
  </si>
  <si>
    <t>mat.su vite</t>
  </si>
  <si>
    <t>senza fil.</t>
  </si>
  <si>
    <t>filetti</t>
  </si>
  <si>
    <t>pos.0</t>
  </si>
  <si>
    <t>pos.max</t>
  </si>
  <si>
    <r>
      <t>cm</t>
    </r>
    <r>
      <rPr>
        <vertAlign val="superscript"/>
        <sz val="10"/>
        <color rgb="FF000000"/>
        <rFont val="Calibri"/>
      </rPr>
      <t>3</t>
    </r>
  </si>
  <si>
    <t>CALCOLO TEMPO DI PERMANENZA IN VITE:</t>
  </si>
  <si>
    <t>dens.</t>
  </si>
  <si>
    <t>cuscino</t>
  </si>
  <si>
    <t>num. Stam-</t>
  </si>
  <si>
    <t>tempo di</t>
  </si>
  <si>
    <t>in vite</t>
  </si>
  <si>
    <t>pate in vite</t>
  </si>
  <si>
    <t>permanenz</t>
  </si>
  <si>
    <t>D(pistone)</t>
  </si>
  <si>
    <t>F(pistone)</t>
  </si>
  <si>
    <t>tempo iniez</t>
  </si>
  <si>
    <t>D. vite</t>
  </si>
  <si>
    <t>D. nocciolo</t>
  </si>
  <si>
    <r>
      <t>allungamento d</t>
    </r>
    <r>
      <rPr>
        <b/>
        <sz val="10"/>
        <color rgb="FF000000"/>
        <rFont val="Calibri"/>
      </rPr>
      <t xml:space="preserve">i 4 </t>
    </r>
    <r>
      <rPr>
        <b/>
        <sz val="10"/>
        <color rgb="FF000000"/>
        <rFont val="Calibri"/>
      </rPr>
      <t>colonne 38NCD4</t>
    </r>
  </si>
  <si>
    <t>*  mm</t>
  </si>
  <si>
    <t>* valori medi</t>
  </si>
  <si>
    <t xml:space="preserve"> sp. cresta</t>
  </si>
  <si>
    <t>snervamento</t>
  </si>
  <si>
    <t>produttività oraria ed annua</t>
  </si>
  <si>
    <t>numero</t>
  </si>
  <si>
    <t>impronte</t>
  </si>
  <si>
    <t>oraria</t>
  </si>
  <si>
    <t>num. ore</t>
  </si>
  <si>
    <t>prod.annua</t>
  </si>
  <si>
    <t>milioni</t>
  </si>
  <si>
    <t>cam.calda</t>
  </si>
  <si>
    <t>CADUTA DI TENSIONE</t>
  </si>
  <si>
    <t>caduta</t>
  </si>
  <si>
    <t>cavo x fase</t>
  </si>
  <si>
    <t>trifase</t>
  </si>
  <si>
    <t>monofase</t>
  </si>
  <si>
    <t>continua</t>
  </si>
  <si>
    <t>rame</t>
  </si>
  <si>
    <t>resistività</t>
  </si>
  <si>
    <r>
      <t>Ω·mm</t>
    </r>
    <r>
      <rPr>
        <vertAlign val="superscript"/>
        <sz val="10"/>
        <color rgb="FF000000"/>
        <rFont val="Calibri"/>
      </rPr>
      <t>2</t>
    </r>
    <r>
      <rPr>
        <sz val="10"/>
        <color rgb="FF000000"/>
        <rFont val="Calibri"/>
      </rPr>
      <t>/m</t>
    </r>
  </si>
  <si>
    <t>rame 0°C</t>
  </si>
  <si>
    <t>di lavoro</t>
  </si>
  <si>
    <t>coeff.temp.</t>
  </si>
  <si>
    <t>1/°C</t>
  </si>
  <si>
    <t>Ω</t>
  </si>
  <si>
    <t>resist.1cavo</t>
  </si>
  <si>
    <t>attiva</t>
  </si>
  <si>
    <r>
      <t>assorb.</t>
    </r>
    <r>
      <rPr>
        <sz val="10"/>
        <color rgb="FF000000"/>
        <rFont val="Calibri"/>
      </rPr>
      <t>max</t>
    </r>
  </si>
  <si>
    <t>kW</t>
  </si>
  <si>
    <t>Volume di una tramoggia cilindrica con base conica</t>
  </si>
  <si>
    <t>Diam. Int.</t>
  </si>
  <si>
    <t>H. conico</t>
  </si>
  <si>
    <t>lt</t>
  </si>
  <si>
    <t>H. clindrico</t>
  </si>
  <si>
    <t>Lato. Int.</t>
  </si>
  <si>
    <t>H. quadrato</t>
  </si>
  <si>
    <t>H. raccordo</t>
  </si>
  <si>
    <t>litri</t>
  </si>
  <si>
    <t>in peso</t>
  </si>
  <si>
    <t>in volume</t>
  </si>
  <si>
    <t>comp.3</t>
  </si>
  <si>
    <t>comp.4</t>
  </si>
  <si>
    <t>comp.5</t>
  </si>
  <si>
    <t>Kg</t>
  </si>
  <si>
    <t>Pesi Specifici</t>
  </si>
  <si>
    <t>Vetro</t>
  </si>
  <si>
    <t>Talco</t>
  </si>
  <si>
    <t>a 20°C</t>
  </si>
  <si>
    <t>SAN</t>
  </si>
  <si>
    <t>ASA</t>
  </si>
  <si>
    <t>LDPE</t>
  </si>
  <si>
    <t>HDPE</t>
  </si>
  <si>
    <t>PMMA</t>
  </si>
  <si>
    <t>POM</t>
  </si>
  <si>
    <t>PC</t>
  </si>
  <si>
    <t>PET</t>
  </si>
  <si>
    <t>PA66</t>
  </si>
  <si>
    <t>PUR</t>
  </si>
  <si>
    <t>STANDARD</t>
  </si>
  <si>
    <t>m</t>
  </si>
  <si>
    <t>pollici</t>
  </si>
  <si>
    <t>piedi</t>
  </si>
  <si>
    <t>miglia</t>
  </si>
  <si>
    <t>kN</t>
  </si>
  <si>
    <t>Kgr(f)</t>
  </si>
  <si>
    <t>ton(f)</t>
  </si>
  <si>
    <t>libbre</t>
  </si>
  <si>
    <t>metri cubi</t>
  </si>
  <si>
    <t>cl</t>
  </si>
  <si>
    <t>cc(cm3)</t>
  </si>
  <si>
    <t>gallone (US)</t>
  </si>
  <si>
    <t>gallone(imp)</t>
  </si>
  <si>
    <t>once-oz</t>
  </si>
  <si>
    <t>Classificazione EUROMAP Gruppo di Iniezione</t>
  </si>
  <si>
    <t>massima</t>
  </si>
  <si>
    <t>press. Max</t>
  </si>
  <si>
    <t>su materiale</t>
  </si>
  <si>
    <t>iniettabile</t>
  </si>
  <si>
    <t>GRUPPO</t>
  </si>
  <si>
    <t>INIEZIONE</t>
  </si>
  <si>
    <t>EUROMAP</t>
  </si>
  <si>
    <t>i calcoli sono riferiti ai valori della stessa riga</t>
  </si>
  <si>
    <t>rottura</t>
  </si>
  <si>
    <t>giorno</t>
  </si>
  <si>
    <t>num. giorni</t>
  </si>
  <si>
    <t>annu1</t>
  </si>
  <si>
    <t>pot.max</t>
  </si>
  <si>
    <t>stampo</t>
  </si>
  <si>
    <t>temp.</t>
  </si>
  <si>
    <t>fuso</t>
  </si>
  <si>
    <t>st. tot.</t>
  </si>
  <si>
    <t>%</t>
  </si>
  <si>
    <t>coeff.cons.</t>
  </si>
  <si>
    <t>classificaz.</t>
  </si>
  <si>
    <t>Modificare solo le celle azzurre</t>
  </si>
  <si>
    <t>ipotetico</t>
  </si>
  <si>
    <t>ipotetica</t>
  </si>
  <si>
    <t>poll. quadro</t>
  </si>
  <si>
    <t>TEMPERATURE</t>
  </si>
  <si>
    <t>PRESSIONE</t>
  </si>
  <si>
    <t>ENERGIA</t>
  </si>
  <si>
    <t>POTENZA</t>
  </si>
  <si>
    <t>VOLUMI</t>
  </si>
  <si>
    <t>FORZA</t>
  </si>
  <si>
    <t>LUNGHEZZA</t>
  </si>
  <si>
    <t>Volume di una tramoggia quadrata con base piramide rovesc.</t>
  </si>
  <si>
    <t>coeff.granuli</t>
  </si>
  <si>
    <t>specifico</t>
  </si>
  <si>
    <t>FUSO</t>
  </si>
  <si>
    <t>pot.termica</t>
  </si>
  <si>
    <t>miglia naut.</t>
  </si>
  <si>
    <t>TRIFASE - dimensionamento del cavo</t>
  </si>
  <si>
    <t>assorb.</t>
  </si>
  <si>
    <t>per mmq</t>
  </si>
  <si>
    <t xml:space="preserve">CAVI </t>
  </si>
  <si>
    <t>OLTRE LA SEZIONE 95</t>
  </si>
  <si>
    <t>CONVIENE UTILIZZARE</t>
  </si>
  <si>
    <t>UN NUMERO SUFFICIENTE</t>
  </si>
  <si>
    <t>DI CAVI PIÙ PICCOLI IN PARALLELO</t>
  </si>
  <si>
    <t>metri quadri</t>
  </si>
  <si>
    <t>ara</t>
  </si>
  <si>
    <t>centiara</t>
  </si>
  <si>
    <t>ettaro</t>
  </si>
  <si>
    <t>acro int.</t>
  </si>
  <si>
    <t>miglio q.</t>
  </si>
  <si>
    <t>SUPERFICI grandi</t>
  </si>
  <si>
    <t>SUPERFICI piccole</t>
  </si>
  <si>
    <t>cm quadri</t>
  </si>
  <si>
    <t>pollice q.</t>
  </si>
  <si>
    <t>mm quadri</t>
  </si>
  <si>
    <t>Km quadro</t>
  </si>
  <si>
    <t>piede q.</t>
  </si>
  <si>
    <t>i calcoli sono prevalentemente inerenti lo stampaggio ad iniezione delle materie plastiche</t>
  </si>
  <si>
    <t>PERCHÉ PIÙ MANEGGEVOLI</t>
  </si>
  <si>
    <t>velocità</t>
  </si>
  <si>
    <t>cm3/sec</t>
  </si>
  <si>
    <t>volume max</t>
  </si>
  <si>
    <t>corsa max</t>
  </si>
  <si>
    <r>
      <t>Velocità media di iniezione rilevata</t>
    </r>
    <r>
      <rPr>
        <sz val="10"/>
        <color rgb="FF000000"/>
        <rFont val="Calibri"/>
      </rPr>
      <t xml:space="preserve"> (prima riga)</t>
    </r>
  </si>
  <si>
    <r>
      <t>Velocità di iniezione di un plastificatore</t>
    </r>
    <r>
      <rPr>
        <sz val="10"/>
        <color rgb="FF000000"/>
        <rFont val="Calibri"/>
      </rPr>
      <t xml:space="preserve"> (dalle car.tecn.)</t>
    </r>
  </si>
  <si>
    <t>macchina</t>
  </si>
  <si>
    <t>giornaliere</t>
  </si>
  <si>
    <t>giorni</t>
  </si>
  <si>
    <t>annui</t>
  </si>
  <si>
    <t>anni</t>
  </si>
  <si>
    <t>ammort.</t>
  </si>
  <si>
    <t>num</t>
  </si>
  <si>
    <t xml:space="preserve">peso </t>
  </si>
  <si>
    <t>impronta</t>
  </si>
  <si>
    <t>produz.</t>
  </si>
  <si>
    <t>pezzo estr.</t>
  </si>
  <si>
    <t>COP</t>
  </si>
  <si>
    <t>frigorifero</t>
  </si>
  <si>
    <t>COSTO ORARIO TOTALE</t>
  </si>
  <si>
    <t>elettrico</t>
  </si>
  <si>
    <t>totale</t>
  </si>
  <si>
    <t>COSTO RAFFREDDAMENTO STAMPO CON FRIGORIFERO</t>
  </si>
  <si>
    <t>COSTO RAFFREDDAMENTO PRESSA CON FRIGORIFERO</t>
  </si>
  <si>
    <t>COSTO ELETTRICO PRESSA</t>
  </si>
  <si>
    <t>AMMORTAMENTO PRESSA</t>
  </si>
  <si>
    <t>imp.oleod.</t>
  </si>
  <si>
    <t>perdite cal.</t>
  </si>
  <si>
    <t>necessario</t>
  </si>
  <si>
    <t>pressa</t>
  </si>
  <si>
    <t>€/h</t>
  </si>
  <si>
    <t>al pezzo</t>
  </si>
  <si>
    <t>pezzi</t>
  </si>
  <si>
    <t>annua</t>
  </si>
  <si>
    <t>giornaliera</t>
  </si>
  <si>
    <t>area poligono regolare</t>
  </si>
  <si>
    <t>lati</t>
  </si>
  <si>
    <t>lato</t>
  </si>
  <si>
    <t>apotema</t>
  </si>
  <si>
    <t>TABELLA DEL CALCOLO DEL COSTO ORARIO</t>
  </si>
  <si>
    <t>Tabella Densità di una miscela in peso</t>
  </si>
  <si>
    <t>Tabella Densità di una miscela in volume</t>
  </si>
  <si>
    <t>Tabella ciclo stampaggio, plastificazione, raffreddamento stampo</t>
  </si>
  <si>
    <t>ad eccezione dei quadri denominati Tabella</t>
  </si>
  <si>
    <t>Tabella STAMPO diagonale, peso, riscaldamento</t>
  </si>
  <si>
    <r>
      <rPr>
        <b/>
        <sz val="10"/>
        <color rgb="FF000000"/>
        <rFont val="Calibri"/>
      </rPr>
      <t xml:space="preserve">Tabella </t>
    </r>
    <r>
      <rPr>
        <b/>
        <sz val="10"/>
        <color rgb="FF000000"/>
        <rFont val="Calibri"/>
      </rPr>
      <t>CALCOLO TEMPO DI PERMANENZA IN VITE</t>
    </r>
  </si>
  <si>
    <t>rame mmq</t>
  </si>
  <si>
    <t>cal/gr °C</t>
  </si>
  <si>
    <t>acqua</t>
  </si>
  <si>
    <t>alluminio</t>
  </si>
  <si>
    <t>aria</t>
  </si>
  <si>
    <t>acciaio</t>
  </si>
  <si>
    <t>calore</t>
  </si>
  <si>
    <t>N/m3</t>
  </si>
  <si>
    <t>Calore e peso specifico</t>
  </si>
  <si>
    <t>senza perdite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</si>
</sst>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-;\-* #,##0.00_-;_-* &quot;-&quot;??_-;_-@_-"/>
    <numFmt numFmtId="165" formatCode="0.0"/>
    <numFmt numFmtId="166" formatCode="#,##0.000"/>
    <numFmt numFmtId="167" formatCode="0_ ;\-0\ "/>
    <numFmt numFmtId="168" formatCode="#,##0.0"/>
    <numFmt numFmtId="169" formatCode="_-* #,##0_-;\-* #,##0_-;_-* &quot;-&quot;??_-;_-@_-"/>
    <numFmt numFmtId="170" formatCode="0.000"/>
    <numFmt numFmtId="171" formatCode="_(* #,##0_);_(* \(#,##0\);_(* &quot;-&quot;??_);_(@_)"/>
    <numFmt numFmtId="172" formatCode="_(* #,##0.0_);_(* \(#,##0.0\);_(* &quot;-&quot;??_);_(@_)"/>
    <numFmt numFmtId="173" formatCode="0.0000"/>
    <numFmt numFmtId="174" formatCode="0.0%"/>
    <numFmt numFmtId="175" formatCode="#,##0_ ;\-#,##0\ "/>
    <numFmt numFmtId="176" formatCode="_(* #,##0.000_);_(* \(#,##0.000\);_(* &quot;-&quot;??_);_(@_)"/>
    <numFmt numFmtId="177" formatCode="0.0_ ;\-0.0\ "/>
  </numFmts>
  <fonts count="16" x14ac:knownFonts="1">
    <font>
      <sz val="11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vertAlign val="superscript"/>
      <sz val="10"/>
      <color rgb="FF000000"/>
      <name val="Calibri"/>
    </font>
    <font>
      <u/>
      <sz val="11"/>
      <color theme="10"/>
      <name val="Calibri"/>
    </font>
    <font>
      <u/>
      <sz val="11"/>
      <color theme="11"/>
      <name val="Calibri"/>
    </font>
    <font>
      <sz val="11"/>
      <name val="Calibri"/>
    </font>
    <font>
      <sz val="8"/>
      <color rgb="FF000000"/>
      <name val="Calibri"/>
    </font>
    <font>
      <sz val="8"/>
      <name val="Calibri"/>
    </font>
    <font>
      <b/>
      <sz val="9"/>
      <color indexed="81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79">
    <border>
      <left/>
      <right/>
      <top/>
      <bottom/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ck">
        <color theme="3" tint="0.39997558519241921"/>
      </top>
      <bottom style="thin">
        <color theme="3" tint="0.39997558519241921"/>
      </bottom>
      <diagonal/>
    </border>
    <border>
      <left style="thick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/>
      <right style="thick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ck">
        <color theme="3" tint="0.39997558519241921"/>
      </left>
      <right style="thin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 style="thin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rgb="FF538DD5"/>
      </right>
      <top/>
      <bottom/>
      <diagonal/>
    </border>
    <border>
      <left/>
      <right style="thin">
        <color rgb="FF538DD5"/>
      </right>
      <top/>
      <bottom style="thin">
        <color rgb="FF538DD5"/>
      </bottom>
      <diagonal/>
    </border>
    <border>
      <left/>
      <right style="thin">
        <color rgb="FF538DD5"/>
      </right>
      <top style="thin">
        <color rgb="FF538DD5"/>
      </top>
      <bottom style="thin">
        <color rgb="FF538DD5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ck">
        <color theme="3" tint="0.39997558519241921"/>
      </bottom>
      <diagonal/>
    </border>
    <border>
      <left/>
      <right style="thin">
        <color rgb="FF538DD5"/>
      </right>
      <top style="thin">
        <color rgb="FF538DD5"/>
      </top>
      <bottom/>
      <diagonal/>
    </border>
    <border>
      <left/>
      <right/>
      <top/>
      <bottom style="thin">
        <color theme="3" tint="0.39997558519241921"/>
      </bottom>
      <diagonal/>
    </border>
    <border>
      <left/>
      <right/>
      <top/>
      <bottom style="thin">
        <color rgb="FF538DD5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rgb="FF538DD5"/>
      </top>
      <bottom style="thin">
        <color rgb="FF538DD5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theme="3" tint="0.39997558519241921"/>
      </bottom>
      <diagonal/>
    </border>
    <border>
      <left/>
      <right/>
      <top style="thick">
        <color rgb="FFFF0000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ck">
        <color rgb="FFFF0000"/>
      </top>
      <bottom style="thin">
        <color theme="3" tint="0.39997558519241921"/>
      </bottom>
      <diagonal/>
    </border>
    <border>
      <left style="thin">
        <color theme="3" tint="0.39997558519241921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ck">
        <color rgb="FFFF0000"/>
      </right>
      <top/>
      <bottom style="thin">
        <color theme="3" tint="0.39997558519241921"/>
      </bottom>
      <diagonal/>
    </border>
    <border>
      <left style="thick">
        <color rgb="FFFF0000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ck">
        <color rgb="FFFF0000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ck">
        <color rgb="FFFF0000"/>
      </right>
      <top style="thin">
        <color theme="3" tint="0.39997558519241921"/>
      </top>
      <bottom style="thin">
        <color theme="3" tint="0.39997558519241921"/>
      </bottom>
      <diagonal/>
    </border>
    <border>
      <left style="thick">
        <color rgb="FFFF0000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/>
      <right style="thick">
        <color rgb="FFFF0000"/>
      </right>
      <top/>
      <bottom style="thin">
        <color theme="3" tint="0.39997558519241921"/>
      </bottom>
      <diagonal/>
    </border>
    <border>
      <left/>
      <right style="thick">
        <color rgb="FFFF0000"/>
      </right>
      <top style="thin">
        <color theme="3" tint="0.39997558519241921"/>
      </top>
      <bottom/>
      <diagonal/>
    </border>
    <border>
      <left style="thick">
        <color rgb="FFFF0000"/>
      </left>
      <right style="thin">
        <color theme="3" tint="0.39997558519241921"/>
      </right>
      <top style="thin">
        <color theme="3" tint="0.39997558519241921"/>
      </top>
      <bottom style="thick">
        <color rgb="FFFF0000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ck">
        <color rgb="FFFF0000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ck">
        <color rgb="FFFF0000"/>
      </bottom>
      <diagonal/>
    </border>
    <border>
      <left/>
      <right style="thick">
        <color rgb="FFFF0000"/>
      </right>
      <top style="thin">
        <color theme="3" tint="0.39997558519241921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theme="3" tint="0.39997558519241921"/>
      </bottom>
      <diagonal/>
    </border>
    <border>
      <left style="thick">
        <color rgb="FFFF0000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ck">
        <color rgb="FFFF0000"/>
      </right>
      <top/>
      <bottom/>
      <diagonal/>
    </border>
    <border>
      <left style="thin">
        <color theme="3" tint="0.39997558519241921"/>
      </left>
      <right style="thick">
        <color rgb="FFFF0000"/>
      </right>
      <top style="thin">
        <color theme="3" tint="0.39997558519241921"/>
      </top>
      <bottom style="thick">
        <color rgb="FFFF0000"/>
      </bottom>
      <diagonal/>
    </border>
    <border>
      <left/>
      <right/>
      <top style="thin">
        <color theme="3" tint="0.39997558519241921"/>
      </top>
      <bottom style="thick">
        <color rgb="FFFF0000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ck">
        <color rgb="FFFF0000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ck">
        <color rgb="FFFF0000"/>
      </right>
      <top style="thin">
        <color theme="3" tint="0.39997558519241921"/>
      </top>
      <bottom style="thin">
        <color theme="3" tint="0.39997558519241921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n">
        <color theme="3" tint="0.39997558519241921"/>
      </bottom>
      <diagonal/>
    </border>
    <border>
      <left style="thick">
        <color rgb="FFFF000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ck">
        <color rgb="FFFF0000"/>
      </right>
      <top/>
      <bottom style="thin">
        <color rgb="FF538DD5"/>
      </bottom>
      <diagonal/>
    </border>
    <border>
      <left/>
      <right style="thick">
        <color rgb="FFFF0000"/>
      </right>
      <top style="thin">
        <color rgb="FF538DD5"/>
      </top>
      <bottom/>
      <diagonal/>
    </border>
    <border>
      <left style="thick">
        <color rgb="FFFF0000"/>
      </left>
      <right style="thin">
        <color theme="3" tint="0.39997558519241921"/>
      </right>
      <top style="thin">
        <color rgb="FF538DD5"/>
      </top>
      <bottom style="thin">
        <color rgb="FF538DD5"/>
      </bottom>
      <diagonal/>
    </border>
    <border>
      <left/>
      <right style="thick">
        <color rgb="FFFF0000"/>
      </right>
      <top style="thin">
        <color rgb="FF538DD5"/>
      </top>
      <bottom style="thin">
        <color rgb="FF538DD5"/>
      </bottom>
      <diagonal/>
    </border>
    <border>
      <left style="thick">
        <color rgb="FFFF0000"/>
      </left>
      <right/>
      <top/>
      <bottom style="thin">
        <color rgb="FF538DD5"/>
      </bottom>
      <diagonal/>
    </border>
    <border>
      <left style="thin">
        <color theme="3" tint="0.39997558519241921"/>
      </left>
      <right style="thick">
        <color rgb="FFFF0000"/>
      </right>
      <top style="thin">
        <color rgb="FF538DD5"/>
      </top>
      <bottom style="thin">
        <color rgb="FF538DD5"/>
      </bottom>
      <diagonal/>
    </border>
    <border>
      <left style="thick">
        <color rgb="FFFF0000"/>
      </left>
      <right style="thin">
        <color rgb="FF538DD5"/>
      </right>
      <top/>
      <bottom/>
      <diagonal/>
    </border>
    <border>
      <left style="thick">
        <color rgb="FFFF0000"/>
      </left>
      <right style="thin">
        <color rgb="FF538DD5"/>
      </right>
      <top/>
      <bottom style="thin">
        <color rgb="FF538DD5"/>
      </bottom>
      <diagonal/>
    </border>
    <border>
      <left style="thin">
        <color rgb="FF538DD5"/>
      </left>
      <right style="thick">
        <color rgb="FFFF0000"/>
      </right>
      <top style="thin">
        <color rgb="FF538DD5"/>
      </top>
      <bottom/>
      <diagonal/>
    </border>
    <border>
      <left style="thick">
        <color rgb="FFFF0000"/>
      </left>
      <right style="thin">
        <color rgb="FF538DD5"/>
      </right>
      <top style="thin">
        <color rgb="FF538DD5"/>
      </top>
      <bottom style="thin">
        <color rgb="FF538DD5"/>
      </bottom>
      <diagonal/>
    </border>
    <border>
      <left style="thin">
        <color rgb="FF538DD5"/>
      </left>
      <right style="thick">
        <color rgb="FFFF0000"/>
      </right>
      <top style="thin">
        <color rgb="FF538DD5"/>
      </top>
      <bottom style="thin">
        <color rgb="FF538DD5"/>
      </bottom>
      <diagonal/>
    </border>
    <border>
      <left style="thin">
        <color rgb="FF538DD5"/>
      </left>
      <right style="thick">
        <color rgb="FFFF0000"/>
      </right>
      <top/>
      <bottom style="thin">
        <color rgb="FF538DD5"/>
      </bottom>
      <diagonal/>
    </border>
    <border>
      <left/>
      <right style="thin">
        <color rgb="FF538DD5"/>
      </right>
      <top style="thin">
        <color theme="3" tint="0.39997558519241921"/>
      </top>
      <bottom style="thick">
        <color rgb="FFFF0000"/>
      </bottom>
      <diagonal/>
    </border>
    <border>
      <left style="thin">
        <color theme="3" tint="0.39997558519241921"/>
      </left>
      <right/>
      <top/>
      <bottom/>
      <diagonal/>
    </border>
    <border>
      <left/>
      <right style="thin">
        <color theme="3" tint="0.39997558519241921"/>
      </right>
      <top/>
      <bottom/>
      <diagonal/>
    </border>
  </borders>
  <cellStyleXfs count="221">
    <xf numFmtId="0" fontId="0" fillId="0" borderId="0"/>
    <xf numFmtId="164" fontId="8" fillId="0" borderId="0">
      <alignment vertical="top"/>
      <protection locked="0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59">
    <xf numFmtId="0" fontId="0" fillId="0" borderId="0" xfId="0" applyAlignment="1"/>
    <xf numFmtId="0" fontId="1" fillId="0" borderId="0" xfId="0" applyFont="1" applyAlignment="1">
      <alignment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165" fontId="2" fillId="2" borderId="12" xfId="0" applyNumberFormat="1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65" fontId="2" fillId="2" borderId="12" xfId="0" applyNumberFormat="1" applyFont="1" applyFill="1" applyBorder="1" applyAlignment="1">
      <alignment horizontal="center" vertical="center"/>
    </xf>
    <xf numFmtId="168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165" fontId="2" fillId="2" borderId="3" xfId="0" applyNumberFormat="1" applyFont="1" applyFill="1" applyBorder="1" applyAlignment="1" applyProtection="1">
      <alignment horizontal="center" vertical="center"/>
    </xf>
    <xf numFmtId="170" fontId="2" fillId="6" borderId="3" xfId="0" applyNumberFormat="1" applyFont="1" applyFill="1" applyBorder="1" applyAlignment="1" applyProtection="1">
      <alignment horizontal="center" vertical="center"/>
      <protection locked="0"/>
    </xf>
    <xf numFmtId="170" fontId="2" fillId="5" borderId="3" xfId="0" applyNumberFormat="1" applyFont="1" applyFill="1" applyBorder="1" applyAlignment="1">
      <alignment horizontal="center" vertical="center"/>
    </xf>
    <xf numFmtId="174" fontId="1" fillId="2" borderId="3" xfId="0" applyNumberFormat="1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9" fontId="2" fillId="3" borderId="12" xfId="36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</xf>
    <xf numFmtId="170" fontId="2" fillId="2" borderId="12" xfId="0" applyNumberFormat="1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170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5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172" fontId="2" fillId="2" borderId="12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2" xfId="0" quotePrefix="1" applyFont="1" applyFill="1" applyBorder="1" applyAlignment="1">
      <alignment horizontal="center" vertical="center"/>
    </xf>
    <xf numFmtId="2" fontId="1" fillId="5" borderId="12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173" fontId="1" fillId="5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vertical="center"/>
      <protection locked="0"/>
    </xf>
    <xf numFmtId="0" fontId="5" fillId="6" borderId="12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>
      <alignment horizontal="center" vertical="center"/>
    </xf>
    <xf numFmtId="0" fontId="5" fillId="6" borderId="17" xfId="0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166" fontId="2" fillId="2" borderId="12" xfId="0" applyNumberFormat="1" applyFont="1" applyFill="1" applyBorder="1" applyAlignment="1">
      <alignment horizontal="center" vertical="center"/>
    </xf>
    <xf numFmtId="166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>
      <alignment horizontal="center" vertical="center"/>
    </xf>
    <xf numFmtId="171" fontId="4" fillId="5" borderId="6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71" fontId="4" fillId="5" borderId="6" xfId="0" applyNumberFormat="1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171" fontId="4" fillId="5" borderId="10" xfId="0" applyNumberFormat="1" applyFont="1" applyFill="1" applyBorder="1" applyAlignment="1">
      <alignment horizontal="center" vertical="center"/>
    </xf>
    <xf numFmtId="171" fontId="4" fillId="5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2" fontId="7" fillId="5" borderId="0" xfId="0" applyNumberFormat="1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vertical="center"/>
    </xf>
    <xf numFmtId="1" fontId="1" fillId="5" borderId="3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165" fontId="1" fillId="5" borderId="6" xfId="0" applyNumberFormat="1" applyFont="1" applyFill="1" applyBorder="1" applyAlignment="1">
      <alignment horizontal="center" vertical="center"/>
    </xf>
    <xf numFmtId="165" fontId="1" fillId="5" borderId="10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3" fillId="5" borderId="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vertical="center"/>
    </xf>
    <xf numFmtId="165" fontId="2" fillId="2" borderId="2" xfId="0" applyNumberFormat="1" applyFon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alignment vertical="center"/>
      <protection locked="0"/>
    </xf>
    <xf numFmtId="1" fontId="2" fillId="5" borderId="0" xfId="0" applyNumberFormat="1" applyFont="1" applyFill="1" applyBorder="1" applyAlignment="1">
      <alignment horizontal="center" vertical="center"/>
    </xf>
    <xf numFmtId="1" fontId="13" fillId="5" borderId="0" xfId="0" applyNumberFormat="1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1" fontId="13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65" fontId="2" fillId="2" borderId="2" xfId="0" applyNumberFormat="1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>
      <alignment horizontal="center" vertical="center"/>
    </xf>
    <xf numFmtId="167" fontId="2" fillId="5" borderId="0" xfId="1" applyNumberFormat="1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  <protection locked="0"/>
    </xf>
    <xf numFmtId="170" fontId="2" fillId="5" borderId="0" xfId="0" applyNumberFormat="1" applyFont="1" applyFill="1" applyBorder="1" applyAlignment="1">
      <alignment vertical="center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168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65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65" fontId="2" fillId="5" borderId="0" xfId="0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174" fontId="1" fillId="2" borderId="0" xfId="36" applyNumberFormat="1" applyFont="1" applyFill="1" applyBorder="1" applyAlignment="1" applyProtection="1">
      <alignment horizontal="center" vertical="center"/>
      <protection locked="0"/>
    </xf>
    <xf numFmtId="9" fontId="1" fillId="2" borderId="0" xfId="36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 applyProtection="1">
      <alignment vertical="center"/>
    </xf>
    <xf numFmtId="9" fontId="2" fillId="2" borderId="2" xfId="36" applyFon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165" fontId="2" fillId="5" borderId="2" xfId="0" applyNumberFormat="1" applyFont="1" applyFill="1" applyBorder="1" applyAlignment="1">
      <alignment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175" fontId="6" fillId="5" borderId="0" xfId="1" applyNumberFormat="1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  <protection locked="0"/>
    </xf>
    <xf numFmtId="175" fontId="6" fillId="5" borderId="0" xfId="1" applyNumberFormat="1" applyFont="1" applyFill="1" applyBorder="1" applyAlignment="1">
      <alignment horizontal="center" vertical="center"/>
      <protection locked="0"/>
    </xf>
    <xf numFmtId="0" fontId="2" fillId="5" borderId="0" xfId="0" applyFont="1" applyFill="1" applyAlignment="1">
      <alignment vertical="center"/>
    </xf>
    <xf numFmtId="170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2" xfId="0" quotePrefix="1" applyFont="1" applyFill="1" applyBorder="1" applyAlignment="1">
      <alignment horizontal="center" vertical="center"/>
    </xf>
    <xf numFmtId="17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172" fontId="2" fillId="2" borderId="2" xfId="0" applyNumberFormat="1" applyFont="1" applyFill="1" applyBorder="1" applyAlignment="1">
      <alignment horizontal="center" vertical="center"/>
    </xf>
    <xf numFmtId="173" fontId="1" fillId="5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horizontal="center" vertical="center"/>
    </xf>
    <xf numFmtId="1" fontId="5" fillId="5" borderId="12" xfId="0" applyNumberFormat="1" applyFont="1" applyFill="1" applyBorder="1" applyAlignment="1">
      <alignment horizontal="center" vertical="center"/>
    </xf>
    <xf numFmtId="173" fontId="2" fillId="2" borderId="12" xfId="0" applyNumberFormat="1" applyFont="1" applyFill="1" applyBorder="1" applyAlignment="1">
      <alignment horizontal="center" vertical="center"/>
    </xf>
    <xf numFmtId="173" fontId="2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5" borderId="12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 applyProtection="1">
      <alignment horizontal="center" vertical="center"/>
      <protection locked="0"/>
    </xf>
    <xf numFmtId="165" fontId="2" fillId="5" borderId="12" xfId="0" applyNumberFormat="1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vertical="center"/>
    </xf>
    <xf numFmtId="0" fontId="1" fillId="7" borderId="24" xfId="0" applyFont="1" applyFill="1" applyBorder="1" applyAlignment="1">
      <alignment vertical="center"/>
    </xf>
    <xf numFmtId="0" fontId="2" fillId="7" borderId="25" xfId="0" applyFont="1" applyFill="1" applyBorder="1" applyAlignment="1">
      <alignment vertical="center"/>
    </xf>
    <xf numFmtId="0" fontId="1" fillId="7" borderId="25" xfId="0" applyFont="1" applyFill="1" applyBorder="1" applyAlignment="1">
      <alignment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168" fontId="2" fillId="2" borderId="26" xfId="0" applyNumberFormat="1" applyFont="1" applyFill="1" applyBorder="1" applyAlignment="1">
      <alignment horizontal="center" vertical="center"/>
    </xf>
    <xf numFmtId="166" fontId="2" fillId="2" borderId="26" xfId="0" applyNumberFormat="1" applyFont="1" applyFill="1" applyBorder="1" applyAlignment="1">
      <alignment horizontal="center" vertical="center"/>
    </xf>
    <xf numFmtId="0" fontId="5" fillId="6" borderId="26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 applyProtection="1">
      <alignment horizontal="center" vertical="center"/>
      <protection locked="0"/>
    </xf>
    <xf numFmtId="9" fontId="2" fillId="6" borderId="26" xfId="0" applyNumberFormat="1" applyFont="1" applyFill="1" applyBorder="1" applyAlignment="1" applyProtection="1">
      <alignment horizontal="center" vertical="center"/>
      <protection locked="0"/>
    </xf>
    <xf numFmtId="167" fontId="2" fillId="5" borderId="26" xfId="1" applyNumberFormat="1" applyFont="1" applyFill="1" applyBorder="1" applyAlignment="1" applyProtection="1">
      <alignment horizontal="center" vertical="center"/>
    </xf>
    <xf numFmtId="0" fontId="2" fillId="8" borderId="20" xfId="0" applyFont="1" applyFill="1" applyBorder="1" applyAlignment="1" applyProtection="1">
      <alignment horizontal="center" vertical="center"/>
      <protection locked="0"/>
    </xf>
    <xf numFmtId="3" fontId="2" fillId="2" borderId="26" xfId="0" applyNumberFormat="1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>
      <alignment horizontal="center" vertical="center"/>
    </xf>
    <xf numFmtId="1" fontId="6" fillId="6" borderId="3" xfId="1" applyNumberFormat="1" applyFont="1" applyFill="1" applyBorder="1" applyAlignment="1">
      <alignment horizontal="center" vertical="center"/>
      <protection locked="0"/>
    </xf>
    <xf numFmtId="1" fontId="6" fillId="5" borderId="3" xfId="1" applyNumberFormat="1" applyFont="1" applyFill="1" applyBorder="1" applyAlignment="1" applyProtection="1">
      <alignment horizontal="center" vertical="center"/>
      <protection locked="0"/>
    </xf>
    <xf numFmtId="165" fontId="6" fillId="5" borderId="3" xfId="1" applyNumberFormat="1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  <protection locked="0"/>
    </xf>
    <xf numFmtId="9" fontId="2" fillId="6" borderId="3" xfId="0" applyNumberFormat="1" applyFont="1" applyFill="1" applyBorder="1" applyAlignment="1" applyProtection="1">
      <alignment horizontal="center" vertical="center"/>
      <protection locked="0"/>
    </xf>
    <xf numFmtId="167" fontId="2" fillId="5" borderId="3" xfId="1" applyNumberFormat="1" applyFont="1" applyFill="1" applyBorder="1" applyAlignment="1" applyProtection="1">
      <alignment horizontal="center" vertical="center"/>
    </xf>
    <xf numFmtId="2" fontId="2" fillId="5" borderId="2" xfId="0" applyNumberFormat="1" applyFont="1" applyFill="1" applyBorder="1" applyAlignment="1" applyProtection="1">
      <alignment horizontal="center" vertical="center"/>
      <protection locked="0"/>
    </xf>
    <xf numFmtId="0" fontId="1" fillId="5" borderId="28" xfId="0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0" fontId="1" fillId="5" borderId="30" xfId="0" applyFont="1" applyFill="1" applyBorder="1" applyAlignment="1">
      <alignment vertical="center"/>
    </xf>
    <xf numFmtId="0" fontId="1" fillId="5" borderId="31" xfId="0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0" fontId="1" fillId="5" borderId="33" xfId="0" applyFont="1" applyFill="1" applyBorder="1" applyAlignment="1">
      <alignment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1" fontId="2" fillId="3" borderId="38" xfId="0" applyNumberFormat="1" applyFont="1" applyFill="1" applyBorder="1" applyAlignment="1" applyProtection="1">
      <alignment horizontal="center" vertical="center"/>
      <protection locked="0"/>
    </xf>
    <xf numFmtId="1" fontId="2" fillId="2" borderId="42" xfId="0" applyNumberFormat="1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4" xfId="0" applyFont="1" applyFill="1" applyBorder="1" applyAlignment="1">
      <alignment vertical="center"/>
    </xf>
    <xf numFmtId="0" fontId="1" fillId="5" borderId="45" xfId="0" applyFont="1" applyFill="1" applyBorder="1" applyAlignment="1">
      <alignment vertical="center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7" xfId="0" applyFont="1" applyFill="1" applyBorder="1" applyAlignment="1" applyProtection="1">
      <alignment horizontal="center" vertical="center"/>
      <protection locked="0"/>
    </xf>
    <xf numFmtId="1" fontId="2" fillId="2" borderId="48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50" xfId="0" applyFont="1" applyFill="1" applyBorder="1" applyAlignment="1">
      <alignment horizontal="left" vertical="center"/>
    </xf>
    <xf numFmtId="0" fontId="2" fillId="6" borderId="38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170" fontId="2" fillId="5" borderId="38" xfId="0" applyNumberFormat="1" applyFont="1" applyFill="1" applyBorder="1" applyAlignment="1">
      <alignment vertical="center"/>
    </xf>
    <xf numFmtId="167" fontId="2" fillId="5" borderId="42" xfId="1" applyNumberFormat="1" applyFont="1" applyFill="1" applyBorder="1" applyAlignment="1" applyProtection="1">
      <alignment horizontal="center" vertical="center"/>
    </xf>
    <xf numFmtId="170" fontId="2" fillId="5" borderId="46" xfId="0" applyNumberFormat="1" applyFont="1" applyFill="1" applyBorder="1" applyAlignment="1">
      <alignment vertical="center"/>
    </xf>
    <xf numFmtId="0" fontId="2" fillId="5" borderId="47" xfId="0" applyFont="1" applyFill="1" applyBorder="1" applyAlignment="1">
      <alignment horizontal="center" vertical="center"/>
    </xf>
    <xf numFmtId="0" fontId="2" fillId="6" borderId="47" xfId="0" applyFont="1" applyFill="1" applyBorder="1" applyAlignment="1" applyProtection="1">
      <alignment horizontal="center" vertical="center"/>
      <protection locked="0"/>
    </xf>
    <xf numFmtId="167" fontId="2" fillId="5" borderId="47" xfId="1" applyNumberFormat="1" applyFont="1" applyFill="1" applyBorder="1" applyAlignment="1" applyProtection="1">
      <alignment horizontal="center" vertical="center"/>
    </xf>
    <xf numFmtId="167" fontId="2" fillId="5" borderId="53" xfId="1" applyNumberFormat="1" applyFont="1" applyFill="1" applyBorder="1" applyAlignment="1" applyProtection="1">
      <alignment horizontal="center" vertical="center"/>
    </xf>
    <xf numFmtId="0" fontId="2" fillId="4" borderId="48" xfId="0" applyFont="1" applyFill="1" applyBorder="1" applyAlignment="1">
      <alignment vertical="center"/>
    </xf>
    <xf numFmtId="0" fontId="2" fillId="4" borderId="54" xfId="0" applyFont="1" applyFill="1" applyBorder="1" applyAlignment="1">
      <alignment vertical="center"/>
    </xf>
    <xf numFmtId="0" fontId="2" fillId="4" borderId="55" xfId="0" applyFont="1" applyFill="1" applyBorder="1" applyAlignment="1">
      <alignment vertical="center"/>
    </xf>
    <xf numFmtId="0" fontId="2" fillId="5" borderId="16" xfId="0" applyFont="1" applyFill="1" applyBorder="1" applyAlignment="1">
      <alignment horizontal="left" vertical="center"/>
    </xf>
    <xf numFmtId="0" fontId="1" fillId="0" borderId="56" xfId="0" applyFont="1" applyBorder="1" applyAlignment="1">
      <alignment vertical="center"/>
    </xf>
    <xf numFmtId="0" fontId="1" fillId="5" borderId="56" xfId="0" applyFont="1" applyFill="1" applyBorder="1" applyAlignment="1">
      <alignment horizontal="left" vertical="center"/>
    </xf>
    <xf numFmtId="0" fontId="1" fillId="5" borderId="57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vertical="center"/>
    </xf>
    <xf numFmtId="0" fontId="2" fillId="5" borderId="21" xfId="0" applyFont="1" applyFill="1" applyBorder="1" applyAlignment="1">
      <alignment horizontal="center" vertical="center"/>
    </xf>
    <xf numFmtId="0" fontId="1" fillId="5" borderId="58" xfId="0" applyFont="1" applyFill="1" applyBorder="1" applyAlignment="1">
      <alignment vertical="center"/>
    </xf>
    <xf numFmtId="0" fontId="2" fillId="5" borderId="21" xfId="0" applyFont="1" applyFill="1" applyBorder="1" applyAlignment="1">
      <alignment vertical="center"/>
    </xf>
    <xf numFmtId="0" fontId="2" fillId="5" borderId="58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right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2" fontId="5" fillId="5" borderId="12" xfId="0" applyNumberFormat="1" applyFont="1" applyFill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2" fontId="2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15" xfId="0" applyNumberFormat="1" applyFont="1" applyFill="1" applyBorder="1" applyAlignment="1">
      <alignment horizontal="left" vertical="center"/>
    </xf>
    <xf numFmtId="1" fontId="1" fillId="5" borderId="10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2" fillId="5" borderId="15" xfId="0" applyFont="1" applyFill="1" applyBorder="1" applyAlignment="1">
      <alignment horizontal="left" vertical="center"/>
    </xf>
    <xf numFmtId="0" fontId="1" fillId="5" borderId="21" xfId="0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horizontal="left" vertical="center"/>
    </xf>
    <xf numFmtId="1" fontId="2" fillId="5" borderId="21" xfId="0" applyNumberFormat="1" applyFont="1" applyFill="1" applyBorder="1" applyAlignment="1">
      <alignment horizontal="center" vertical="center"/>
    </xf>
    <xf numFmtId="165" fontId="2" fillId="5" borderId="21" xfId="0" applyNumberFormat="1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165" fontId="2" fillId="5" borderId="58" xfId="0" applyNumberFormat="1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left" vertical="center"/>
    </xf>
    <xf numFmtId="2" fontId="2" fillId="3" borderId="12" xfId="0" quotePrefix="1" applyNumberFormat="1" applyFont="1" applyFill="1" applyBorder="1" applyAlignment="1" applyProtection="1">
      <alignment horizontal="center" vertical="center"/>
      <protection locked="0"/>
    </xf>
    <xf numFmtId="2" fontId="2" fillId="2" borderId="12" xfId="0" quotePrefix="1" applyNumberFormat="1" applyFont="1" applyFill="1" applyBorder="1" applyAlignment="1">
      <alignment horizontal="center" vertical="center"/>
    </xf>
    <xf numFmtId="2" fontId="2" fillId="2" borderId="2" xfId="0" quotePrefix="1" applyNumberFormat="1" applyFont="1" applyFill="1" applyBorder="1" applyAlignment="1">
      <alignment horizontal="center" vertical="center"/>
    </xf>
    <xf numFmtId="0" fontId="1" fillId="5" borderId="58" xfId="0" applyFont="1" applyFill="1" applyBorder="1" applyAlignment="1">
      <alignment horizontal="left" vertical="center"/>
    </xf>
    <xf numFmtId="0" fontId="2" fillId="5" borderId="15" xfId="0" applyFont="1" applyFill="1" applyBorder="1" applyAlignment="1" applyProtection="1">
      <alignment horizontal="left" vertical="center"/>
    </xf>
    <xf numFmtId="0" fontId="1" fillId="5" borderId="21" xfId="0" applyFont="1" applyFill="1" applyBorder="1" applyAlignment="1" applyProtection="1">
      <alignment vertical="center"/>
    </xf>
    <xf numFmtId="0" fontId="1" fillId="5" borderId="58" xfId="0" applyFont="1" applyFill="1" applyBorder="1" applyAlignment="1" applyProtection="1">
      <alignment vertical="center"/>
    </xf>
    <xf numFmtId="1" fontId="2" fillId="2" borderId="3" xfId="0" applyNumberFormat="1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left" vertical="center"/>
    </xf>
    <xf numFmtId="170" fontId="2" fillId="6" borderId="38" xfId="0" applyNumberFormat="1" applyFont="1" applyFill="1" applyBorder="1" applyAlignment="1" applyProtection="1">
      <alignment horizontal="center" vertical="center"/>
      <protection locked="0"/>
    </xf>
    <xf numFmtId="0" fontId="1" fillId="5" borderId="42" xfId="0" applyFont="1" applyFill="1" applyBorder="1" applyAlignment="1">
      <alignment horizontal="left" vertical="center"/>
    </xf>
    <xf numFmtId="174" fontId="1" fillId="2" borderId="38" xfId="0" applyNumberFormat="1" applyFont="1" applyFill="1" applyBorder="1" applyAlignment="1" applyProtection="1">
      <alignment horizontal="center" vertical="center"/>
    </xf>
    <xf numFmtId="0" fontId="1" fillId="5" borderId="42" xfId="0" applyFont="1" applyFill="1" applyBorder="1" applyAlignment="1">
      <alignment vertical="center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5" borderId="59" xfId="0" applyFont="1" applyFill="1" applyBorder="1" applyAlignment="1">
      <alignment vertical="center"/>
    </xf>
    <xf numFmtId="2" fontId="1" fillId="2" borderId="38" xfId="0" applyNumberFormat="1" applyFont="1" applyFill="1" applyBorder="1" applyAlignment="1" applyProtection="1">
      <alignment horizontal="center" vertical="center"/>
      <protection locked="0"/>
    </xf>
    <xf numFmtId="174" fontId="1" fillId="2" borderId="46" xfId="36" applyNumberFormat="1" applyFont="1" applyFill="1" applyBorder="1" applyAlignment="1" applyProtection="1">
      <alignment horizontal="center" vertical="center"/>
      <protection locked="0"/>
    </xf>
    <xf numFmtId="174" fontId="1" fillId="2" borderId="47" xfId="36" applyNumberFormat="1" applyFont="1" applyFill="1" applyBorder="1" applyAlignment="1" applyProtection="1">
      <alignment horizontal="center" vertical="center"/>
      <protection locked="0"/>
    </xf>
    <xf numFmtId="9" fontId="1" fillId="2" borderId="47" xfId="36" applyNumberFormat="1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vertical="center"/>
    </xf>
    <xf numFmtId="1" fontId="2" fillId="3" borderId="12" xfId="0" applyNumberFormat="1" applyFont="1" applyFill="1" applyBorder="1" applyAlignment="1">
      <alignment horizontal="center" vertical="center"/>
    </xf>
    <xf numFmtId="169" fontId="6" fillId="5" borderId="28" xfId="1" applyNumberFormat="1" applyFont="1" applyFill="1" applyBorder="1" applyAlignment="1" applyProtection="1">
      <alignment horizontal="left" vertical="center"/>
    </xf>
    <xf numFmtId="169" fontId="7" fillId="5" borderId="29" xfId="1" applyNumberFormat="1" applyFont="1" applyFill="1" applyBorder="1" applyAlignment="1" applyProtection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60" xfId="0" applyFont="1" applyFill="1" applyBorder="1" applyAlignment="1">
      <alignment horizontal="left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1" fontId="6" fillId="6" borderId="38" xfId="1" applyNumberFormat="1" applyFont="1" applyFill="1" applyBorder="1" applyAlignment="1">
      <alignment horizontal="center" vertical="center"/>
      <protection locked="0"/>
    </xf>
    <xf numFmtId="0" fontId="7" fillId="5" borderId="43" xfId="0" applyFont="1" applyFill="1" applyBorder="1" applyAlignment="1">
      <alignment horizontal="center" vertical="center"/>
    </xf>
    <xf numFmtId="165" fontId="6" fillId="5" borderId="38" xfId="1" applyNumberFormat="1" applyFont="1" applyFill="1" applyBorder="1" applyAlignment="1" applyProtection="1">
      <alignment horizontal="center" vertical="center"/>
    </xf>
    <xf numFmtId="0" fontId="6" fillId="5" borderId="60" xfId="0" applyFont="1" applyFill="1" applyBorder="1" applyAlignment="1">
      <alignment horizontal="left" vertical="center"/>
    </xf>
    <xf numFmtId="0" fontId="7" fillId="5" borderId="41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  <protection locked="0"/>
    </xf>
    <xf numFmtId="0" fontId="6" fillId="6" borderId="47" xfId="0" applyFont="1" applyFill="1" applyBorder="1" applyAlignment="1" applyProtection="1">
      <alignment horizontal="center" vertical="center"/>
      <protection locked="0"/>
    </xf>
    <xf numFmtId="175" fontId="6" fillId="6" borderId="47" xfId="1" applyNumberFormat="1" applyFont="1" applyFill="1" applyBorder="1" applyAlignment="1">
      <alignment horizontal="center" vertical="center"/>
      <protection locked="0"/>
    </xf>
    <xf numFmtId="175" fontId="6" fillId="5" borderId="47" xfId="1" applyNumberFormat="1" applyFont="1" applyFill="1" applyBorder="1" applyAlignment="1" applyProtection="1">
      <alignment horizontal="center" vertical="center"/>
    </xf>
    <xf numFmtId="175" fontId="6" fillId="5" borderId="53" xfId="1" applyNumberFormat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165" fontId="2" fillId="0" borderId="12" xfId="0" applyNumberFormat="1" applyFont="1" applyFill="1" applyBorder="1" applyAlignment="1" applyProtection="1">
      <alignment horizontal="center" vertical="center"/>
    </xf>
    <xf numFmtId="171" fontId="2" fillId="5" borderId="15" xfId="0" applyNumberFormat="1" applyFont="1" applyFill="1" applyBorder="1" applyAlignment="1">
      <alignment horizontal="left" vertical="center"/>
    </xf>
    <xf numFmtId="171" fontId="1" fillId="5" borderId="21" xfId="0" applyNumberFormat="1" applyFont="1" applyFill="1" applyBorder="1" applyAlignment="1">
      <alignment vertical="center"/>
    </xf>
    <xf numFmtId="171" fontId="1" fillId="5" borderId="21" xfId="0" applyNumberFormat="1" applyFont="1" applyFill="1" applyBorder="1" applyAlignment="1">
      <alignment horizontal="center" vertical="center"/>
    </xf>
    <xf numFmtId="0" fontId="4" fillId="5" borderId="58" xfId="0" applyFont="1" applyFill="1" applyBorder="1" applyAlignment="1">
      <alignment horizontal="center" vertical="center"/>
    </xf>
    <xf numFmtId="171" fontId="1" fillId="5" borderId="4" xfId="0" applyNumberFormat="1" applyFont="1" applyFill="1" applyBorder="1" applyAlignment="1">
      <alignment horizontal="center" vertical="center"/>
    </xf>
    <xf numFmtId="0" fontId="1" fillId="5" borderId="5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5" borderId="28" xfId="0" applyFont="1" applyFill="1" applyBorder="1" applyAlignment="1">
      <alignment horizontal="left" vertical="center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5" borderId="62" xfId="0" applyFont="1" applyFill="1" applyBorder="1" applyAlignment="1">
      <alignment horizontal="right" vertical="center"/>
    </xf>
    <xf numFmtId="0" fontId="2" fillId="5" borderId="44" xfId="0" applyFont="1" applyFill="1" applyBorder="1" applyAlignment="1">
      <alignment horizontal="left" vertical="center"/>
    </xf>
    <xf numFmtId="0" fontId="2" fillId="5" borderId="63" xfId="0" applyFont="1" applyFill="1" applyBorder="1" applyAlignment="1">
      <alignment horizontal="right" vertical="center"/>
    </xf>
    <xf numFmtId="0" fontId="2" fillId="5" borderId="59" xfId="0" applyFont="1" applyFill="1" applyBorder="1" applyAlignment="1">
      <alignment horizontal="left" vertical="center"/>
    </xf>
    <xf numFmtId="171" fontId="1" fillId="5" borderId="60" xfId="0" applyNumberFormat="1" applyFont="1" applyFill="1" applyBorder="1" applyAlignment="1">
      <alignment horizontal="center" vertical="center"/>
    </xf>
    <xf numFmtId="0" fontId="1" fillId="5" borderId="61" xfId="0" applyFont="1" applyFill="1" applyBorder="1" applyAlignment="1">
      <alignment horizontal="center" vertical="center"/>
    </xf>
    <xf numFmtId="0" fontId="1" fillId="5" borderId="6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vertical="center"/>
    </xf>
    <xf numFmtId="0" fontId="1" fillId="5" borderId="59" xfId="0" applyFont="1" applyFill="1" applyBorder="1" applyAlignment="1">
      <alignment vertical="center"/>
    </xf>
    <xf numFmtId="0" fontId="1" fillId="7" borderId="61" xfId="0" applyFont="1" applyFill="1" applyBorder="1" applyAlignment="1">
      <alignment horizontal="center" vertical="center"/>
    </xf>
    <xf numFmtId="0" fontId="1" fillId="7" borderId="64" xfId="0" applyFont="1" applyFill="1" applyBorder="1" applyAlignment="1">
      <alignment horizontal="center" vertical="center"/>
    </xf>
    <xf numFmtId="0" fontId="1" fillId="7" borderId="65" xfId="0" applyFont="1" applyFill="1" applyBorder="1" applyAlignment="1">
      <alignment horizontal="center" vertical="center"/>
    </xf>
    <xf numFmtId="0" fontId="2" fillId="3" borderId="66" xfId="0" applyFont="1" applyFill="1" applyBorder="1" applyAlignment="1" applyProtection="1">
      <alignment horizontal="center" vertical="center"/>
      <protection locked="0"/>
    </xf>
    <xf numFmtId="0" fontId="1" fillId="7" borderId="67" xfId="0" applyFont="1" applyFill="1" applyBorder="1" applyAlignment="1">
      <alignment horizontal="center" vertical="center"/>
    </xf>
    <xf numFmtId="0" fontId="2" fillId="7" borderId="68" xfId="0" applyFont="1" applyFill="1" applyBorder="1" applyAlignment="1">
      <alignment vertical="center"/>
    </xf>
    <xf numFmtId="0" fontId="1" fillId="7" borderId="44" xfId="0" applyFont="1" applyFill="1" applyBorder="1" applyAlignment="1">
      <alignment vertical="center"/>
    </xf>
    <xf numFmtId="0" fontId="2" fillId="6" borderId="66" xfId="0" applyFont="1" applyFill="1" applyBorder="1" applyAlignment="1" applyProtection="1">
      <alignment horizontal="center" vertical="center"/>
      <protection locked="0"/>
    </xf>
    <xf numFmtId="167" fontId="2" fillId="5" borderId="69" xfId="1" applyNumberFormat="1" applyFont="1" applyFill="1" applyBorder="1" applyAlignment="1" applyProtection="1">
      <alignment horizontal="center" vertical="center"/>
    </xf>
    <xf numFmtId="0" fontId="1" fillId="7" borderId="64" xfId="0" applyFont="1" applyFill="1" applyBorder="1" applyAlignment="1">
      <alignment vertical="center"/>
    </xf>
    <xf numFmtId="0" fontId="1" fillId="7" borderId="70" xfId="0" applyFont="1" applyFill="1" applyBorder="1" applyAlignment="1">
      <alignment horizontal="center" vertical="center"/>
    </xf>
    <xf numFmtId="0" fontId="1" fillId="7" borderId="71" xfId="0" applyFont="1" applyFill="1" applyBorder="1" applyAlignment="1">
      <alignment horizontal="center" vertical="center"/>
    </xf>
    <xf numFmtId="0" fontId="1" fillId="7" borderId="72" xfId="0" applyFont="1" applyFill="1" applyBorder="1" applyAlignment="1">
      <alignment horizontal="center" vertical="center"/>
    </xf>
    <xf numFmtId="3" fontId="2" fillId="8" borderId="73" xfId="0" applyNumberFormat="1" applyFont="1" applyFill="1" applyBorder="1" applyAlignment="1" applyProtection="1">
      <alignment horizontal="center" vertical="center"/>
      <protection locked="0"/>
    </xf>
    <xf numFmtId="0" fontId="2" fillId="7" borderId="74" xfId="0" applyFont="1" applyFill="1" applyBorder="1" applyAlignment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  <protection locked="0"/>
    </xf>
    <xf numFmtId="0" fontId="1" fillId="7" borderId="75" xfId="0" applyFont="1" applyFill="1" applyBorder="1" applyAlignment="1">
      <alignment horizontal="center" vertical="center"/>
    </xf>
    <xf numFmtId="177" fontId="2" fillId="5" borderId="46" xfId="1" applyNumberFormat="1" applyFont="1" applyFill="1" applyBorder="1" applyAlignment="1" applyProtection="1">
      <alignment horizontal="center" vertical="center"/>
    </xf>
    <xf numFmtId="177" fontId="2" fillId="5" borderId="47" xfId="1" applyNumberFormat="1" applyFont="1" applyFill="1" applyBorder="1" applyAlignment="1" applyProtection="1">
      <alignment horizontal="center" vertical="center"/>
    </xf>
    <xf numFmtId="0" fontId="1" fillId="7" borderId="76" xfId="0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" fontId="1" fillId="5" borderId="4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7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77" xfId="0" applyFont="1" applyFill="1" applyBorder="1" applyAlignment="1" applyProtection="1">
      <alignment horizontal="left" vertical="center"/>
      <protection locked="0"/>
    </xf>
    <xf numFmtId="0" fontId="1" fillId="2" borderId="78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7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13" fillId="5" borderId="49" xfId="0" applyFont="1" applyFill="1" applyBorder="1" applyAlignment="1">
      <alignment vertical="center"/>
    </xf>
  </cellXfs>
  <cellStyles count="221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visitato" xfId="3" builtinId="9" hidden="1"/>
    <cellStyle name="Collegamento visitato" xfId="5" builtinId="9" hidden="1"/>
    <cellStyle name="Collegamento visitato" xfId="7" builtinId="9" hidden="1"/>
    <cellStyle name="Collegamento visitato" xfId="9" builtinId="9" hidden="1"/>
    <cellStyle name="Collegamento visitato" xfId="11" builtinId="9" hidden="1"/>
    <cellStyle name="Collegamento visitato" xfId="13" builtinId="9" hidden="1"/>
    <cellStyle name="Collegamento visitato" xfId="15" builtinId="9" hidden="1"/>
    <cellStyle name="Collegamento visitato" xfId="17" builtinId="9" hidden="1"/>
    <cellStyle name="Collegamento visitato" xfId="19" builtinId="9" hidden="1"/>
    <cellStyle name="Collegamento visitato" xfId="21" builtinId="9" hidden="1"/>
    <cellStyle name="Collegamento visitato" xfId="23" builtinId="9" hidden="1"/>
    <cellStyle name="Collegamento visitato" xfId="25" builtinId="9" hidden="1"/>
    <cellStyle name="Collegamento visitato" xfId="27" builtinId="9" hidden="1"/>
    <cellStyle name="Collegamento visitato" xfId="29" builtinId="9" hidden="1"/>
    <cellStyle name="Collegamento visitato" xfId="31" builtinId="9" hidden="1"/>
    <cellStyle name="Collegamento visitato" xfId="33" builtinId="9" hidden="1"/>
    <cellStyle name="Collegamento visitato" xfId="35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Collegamento visitato" xfId="94" builtinId="9" hidden="1"/>
    <cellStyle name="Collegamento visitato" xfId="96" builtinId="9" hidden="1"/>
    <cellStyle name="Collegamento visitato" xfId="98" builtinId="9" hidden="1"/>
    <cellStyle name="Collegamento visitato" xfId="100" builtinId="9" hidden="1"/>
    <cellStyle name="Collegamento visitato" xfId="102" builtinId="9" hidden="1"/>
    <cellStyle name="Collegamento visitato" xfId="104" builtinId="9" hidden="1"/>
    <cellStyle name="Collegamento visitato" xfId="106" builtinId="9" hidden="1"/>
    <cellStyle name="Collegamento visitato" xfId="108" builtinId="9" hidden="1"/>
    <cellStyle name="Collegamento visitato" xfId="110" builtinId="9" hidden="1"/>
    <cellStyle name="Collegamento visitato" xfId="112" builtinId="9" hidden="1"/>
    <cellStyle name="Collegamento visitato" xfId="114" builtinId="9" hidden="1"/>
    <cellStyle name="Collegamento visitato" xfId="116" builtinId="9" hidden="1"/>
    <cellStyle name="Collegamento visitato" xfId="118" builtinId="9" hidden="1"/>
    <cellStyle name="Collegamento visitato" xfId="120" builtinId="9" hidden="1"/>
    <cellStyle name="Collegamento visitato" xfId="122" builtinId="9" hidden="1"/>
    <cellStyle name="Collegamento visitato" xfId="124" builtinId="9" hidden="1"/>
    <cellStyle name="Collegamento visitato" xfId="126" builtinId="9" hidden="1"/>
    <cellStyle name="Collegamento visitato" xfId="128" builtinId="9" hidden="1"/>
    <cellStyle name="Collegamento visitato" xfId="130" builtinId="9" hidden="1"/>
    <cellStyle name="Collegamento visitato" xfId="132" builtinId="9" hidden="1"/>
    <cellStyle name="Collegamento visitato" xfId="134" builtinId="9" hidden="1"/>
    <cellStyle name="Collegamento visitato" xfId="136" builtinId="9" hidden="1"/>
    <cellStyle name="Collegamento visitato" xfId="138" builtinId="9" hidden="1"/>
    <cellStyle name="Collegamento visitato" xfId="140" builtinId="9" hidden="1"/>
    <cellStyle name="Collegamento visitato" xfId="142" builtinId="9" hidden="1"/>
    <cellStyle name="Collegamento visitato" xfId="144" builtinId="9" hidden="1"/>
    <cellStyle name="Collegamento visitato" xfId="146" builtinId="9" hidden="1"/>
    <cellStyle name="Collegamento visitato" xfId="148" builtinId="9" hidden="1"/>
    <cellStyle name="Collegamento visitato" xfId="150" builtinId="9" hidden="1"/>
    <cellStyle name="Collegamento visitato" xfId="152" builtinId="9" hidden="1"/>
    <cellStyle name="Collegamento visitato" xfId="154" builtinId="9" hidden="1"/>
    <cellStyle name="Collegamento visitato" xfId="156" builtinId="9" hidden="1"/>
    <cellStyle name="Collegamento visitato" xfId="158" builtinId="9" hidden="1"/>
    <cellStyle name="Collegamento visitato" xfId="160" builtinId="9" hidden="1"/>
    <cellStyle name="Collegamento visitato" xfId="162" builtinId="9" hidden="1"/>
    <cellStyle name="Collegamento visitato" xfId="164" builtinId="9" hidden="1"/>
    <cellStyle name="Collegamento visitato" xfId="166" builtinId="9" hidden="1"/>
    <cellStyle name="Collegamento visitato" xfId="168" builtinId="9" hidden="1"/>
    <cellStyle name="Collegamento visitato" xfId="170" builtinId="9" hidden="1"/>
    <cellStyle name="Collegamento visitato" xfId="172" builtinId="9" hidden="1"/>
    <cellStyle name="Collegamento visitato" xfId="174" builtinId="9" hidden="1"/>
    <cellStyle name="Collegamento visitato" xfId="176" builtinId="9" hidden="1"/>
    <cellStyle name="Collegamento visitato" xfId="178" builtinId="9" hidden="1"/>
    <cellStyle name="Collegamento visitato" xfId="180" builtinId="9" hidden="1"/>
    <cellStyle name="Collegamento visitato" xfId="182" builtinId="9" hidden="1"/>
    <cellStyle name="Collegamento visitato" xfId="184" builtinId="9" hidden="1"/>
    <cellStyle name="Collegamento visitato" xfId="186" builtinId="9" hidden="1"/>
    <cellStyle name="Collegamento visitato" xfId="188" builtinId="9" hidden="1"/>
    <cellStyle name="Collegamento visitato" xfId="190" builtinId="9" hidden="1"/>
    <cellStyle name="Collegamento visitato" xfId="192" builtinId="9" hidden="1"/>
    <cellStyle name="Collegamento visitato" xfId="194" builtinId="9" hidden="1"/>
    <cellStyle name="Collegamento visitato" xfId="196" builtinId="9" hidden="1"/>
    <cellStyle name="Collegamento visitato" xfId="198" builtinId="9" hidden="1"/>
    <cellStyle name="Collegamento visitato" xfId="200" builtinId="9" hidden="1"/>
    <cellStyle name="Collegamento visitato" xfId="202" builtinId="9" hidden="1"/>
    <cellStyle name="Collegamento visitato" xfId="204" builtinId="9" hidden="1"/>
    <cellStyle name="Collegamento visitato" xfId="206" builtinId="9" hidden="1"/>
    <cellStyle name="Collegamento visitato" xfId="208" builtinId="9" hidden="1"/>
    <cellStyle name="Collegamento visitato" xfId="210" builtinId="9" hidden="1"/>
    <cellStyle name="Collegamento visitato" xfId="212" builtinId="9" hidden="1"/>
    <cellStyle name="Collegamento visitato" xfId="214" builtinId="9" hidden="1"/>
    <cellStyle name="Collegamento visitato" xfId="216" builtinId="9" hidden="1"/>
    <cellStyle name="Collegamento visitato" xfId="218" builtinId="9" hidden="1"/>
    <cellStyle name="Collegamento visitato" xfId="220" builtinId="9" hidden="1"/>
    <cellStyle name="Normale" xfId="0" builtinId="0"/>
    <cellStyle name="Percentuale" xfId="36" builtinId="5"/>
    <cellStyle name="Virgola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5401" y="38100"/>
    <xdr:ext cx="3324855" cy="781050"/>
    <xdr:pic>
      <xdr:nvPicPr>
        <xdr:cNvPr id="3" name="Immagine 2" descr="GART-MP marchi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1" y="38100"/>
          <a:ext cx="3324855" cy="7810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A1:IV359"/>
  <sheetViews>
    <sheetView tabSelected="1" zoomScale="200" workbookViewId="0">
      <selection activeCell="C10" sqref="C10"/>
    </sheetView>
  </sheetViews>
  <sheetFormatPr baseColWidth="10" defaultColWidth="0" defaultRowHeight="14" x14ac:dyDescent="0"/>
  <cols>
    <col min="1" max="15" width="8.83203125" style="1" customWidth="1"/>
    <col min="16" max="256" width="8.83203125" style="153" customWidth="1"/>
    <col min="257" max="16384" width="9" style="154" hidden="1"/>
  </cols>
  <sheetData>
    <row r="1" spans="1:15" ht="73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>
      <c r="A2" s="83" t="s">
        <v>296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15" customHeight="1" thickBot="1">
      <c r="A3" s="219" t="s">
        <v>258</v>
      </c>
      <c r="B3" s="220"/>
      <c r="C3" s="220"/>
      <c r="D3" s="221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15" customHeight="1" thickTop="1">
      <c r="A4" s="186" t="s">
        <v>245</v>
      </c>
      <c r="B4" s="187"/>
      <c r="C4" s="187"/>
      <c r="D4" s="188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15" customHeight="1" thickBot="1">
      <c r="A5" s="189" t="s">
        <v>341</v>
      </c>
      <c r="B5" s="190"/>
      <c r="C5" s="190"/>
      <c r="D5" s="191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ht="15" customHeight="1" thickTop="1">
      <c r="A6" s="111"/>
      <c r="B6" s="110"/>
      <c r="C6" s="109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1:15" ht="15" customHeight="1">
      <c r="A7" s="222" t="s">
        <v>0</v>
      </c>
      <c r="B7" s="223"/>
      <c r="C7" s="224"/>
      <c r="D7" s="225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</row>
    <row r="8" spans="1:15" ht="15" customHeight="1">
      <c r="A8" s="67" t="s">
        <v>17</v>
      </c>
      <c r="B8" s="67" t="s">
        <v>17</v>
      </c>
      <c r="C8" s="67" t="s">
        <v>65</v>
      </c>
      <c r="D8" s="67" t="s">
        <v>66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</row>
    <row r="9" spans="1:15" ht="15" customHeight="1" thickBot="1">
      <c r="A9" s="49" t="s">
        <v>18</v>
      </c>
      <c r="B9" s="49" t="s">
        <v>33</v>
      </c>
      <c r="C9" s="49" t="s">
        <v>1</v>
      </c>
      <c r="D9" s="49" t="s">
        <v>2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1:15" ht="15" customHeight="1" thickTop="1" thickBot="1">
      <c r="A10" s="9">
        <f>B10/0.746</f>
        <v>53.619302949061662</v>
      </c>
      <c r="B10" s="9">
        <f>C10*D10/9550</f>
        <v>40</v>
      </c>
      <c r="C10" s="3">
        <v>2000</v>
      </c>
      <c r="D10" s="3">
        <v>191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1:15" ht="15" customHeight="1" thickTop="1" thickBot="1">
      <c r="A11" s="9">
        <f>B11/0.746</f>
        <v>53.619302949061662</v>
      </c>
      <c r="B11" s="6">
        <v>40</v>
      </c>
      <c r="C11" s="7">
        <f>B11*9550/D11</f>
        <v>2000</v>
      </c>
      <c r="D11" s="3">
        <v>191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spans="1:15" ht="15" customHeight="1" thickTop="1" thickBot="1">
      <c r="A12" s="9">
        <f>B12/0.746</f>
        <v>53.619302949061662</v>
      </c>
      <c r="B12" s="6">
        <v>40</v>
      </c>
      <c r="C12" s="3">
        <v>2000</v>
      </c>
      <c r="D12" s="7">
        <f>B12*9550/C12</f>
        <v>191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spans="1:15" ht="15" customHeight="1" thickTop="1">
      <c r="A13" s="88"/>
      <c r="B13" s="86"/>
      <c r="C13" s="85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15" ht="15" customHeight="1">
      <c r="A14" s="226" t="s">
        <v>3</v>
      </c>
      <c r="B14" s="227"/>
      <c r="C14" s="227"/>
      <c r="D14" s="228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5" ht="15" customHeight="1" thickBot="1">
      <c r="A15" s="49" t="s">
        <v>33</v>
      </c>
      <c r="B15" s="49" t="s">
        <v>4</v>
      </c>
      <c r="C15" s="49" t="s">
        <v>5</v>
      </c>
      <c r="D15" s="49" t="s">
        <v>6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spans="1:15" ht="15" customHeight="1" thickTop="1" thickBot="1">
      <c r="A16" s="9">
        <f>(3^0.5)*B16*C16*D16/1000</f>
        <v>100.1125366774811</v>
      </c>
      <c r="B16" s="6">
        <v>170</v>
      </c>
      <c r="C16" s="3">
        <v>400</v>
      </c>
      <c r="D16" s="3">
        <v>0.85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spans="1:15" ht="15" customHeight="1" thickTop="1" thickBot="1">
      <c r="A17" s="6">
        <v>100</v>
      </c>
      <c r="B17" s="9">
        <f>1000*A17/(C17*D17*(3^0.5))</f>
        <v>169.80890270283112</v>
      </c>
      <c r="C17" s="3">
        <v>400</v>
      </c>
      <c r="D17" s="3">
        <v>0.85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spans="1:15" ht="15" customHeight="1" thickTop="1" thickBot="1">
      <c r="A18" s="6">
        <v>100</v>
      </c>
      <c r="B18" s="6">
        <v>170</v>
      </c>
      <c r="C18" s="7">
        <f>A18*1000/(B18*D18*3^0.5)</f>
        <v>399.55035930077912</v>
      </c>
      <c r="D18" s="3">
        <v>0.85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</row>
    <row r="19" spans="1:15" ht="15" customHeight="1" thickTop="1" thickBot="1">
      <c r="A19" s="6">
        <v>100</v>
      </c>
      <c r="B19" s="6">
        <v>170</v>
      </c>
      <c r="C19" s="3">
        <v>400</v>
      </c>
      <c r="D19" s="30">
        <f>A19*1000/(3^0.5*B19*C19)</f>
        <v>0.84904451351415555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spans="1:15" ht="15" customHeight="1" thickTop="1">
      <c r="A20" s="88"/>
      <c r="B20" s="88"/>
      <c r="C20" s="86"/>
      <c r="D20" s="89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spans="1:15" ht="15" customHeight="1">
      <c r="A21" s="226" t="s">
        <v>7</v>
      </c>
      <c r="B21" s="227"/>
      <c r="C21" s="227"/>
      <c r="D21" s="228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5" ht="15" customHeight="1" thickBot="1">
      <c r="A22" s="49" t="s">
        <v>33</v>
      </c>
      <c r="B22" s="49" t="s">
        <v>4</v>
      </c>
      <c r="C22" s="49" t="s">
        <v>5</v>
      </c>
      <c r="D22" s="49" t="s">
        <v>6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spans="1:15" ht="15" customHeight="1" thickTop="1" thickBot="1">
      <c r="A23" s="9">
        <f>B23*C23*D23/1000</f>
        <v>3.06</v>
      </c>
      <c r="B23" s="6">
        <v>15</v>
      </c>
      <c r="C23" s="3">
        <v>240</v>
      </c>
      <c r="D23" s="3">
        <v>0.85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</row>
    <row r="24" spans="1:15" ht="15" customHeight="1" thickTop="1" thickBot="1">
      <c r="A24" s="6">
        <v>3.1</v>
      </c>
      <c r="B24" s="9">
        <f>1000*A24/(C24*D24)</f>
        <v>15.196078431372548</v>
      </c>
      <c r="C24" s="3">
        <v>240</v>
      </c>
      <c r="D24" s="3">
        <v>0.85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</row>
    <row r="25" spans="1:15" ht="15" customHeight="1" thickTop="1" thickBot="1">
      <c r="A25" s="6">
        <v>3.1</v>
      </c>
      <c r="B25" s="6">
        <v>15</v>
      </c>
      <c r="C25" s="11">
        <f>A25*1000/(B25*D26)</f>
        <v>239.99999999999997</v>
      </c>
      <c r="D25" s="3">
        <v>0.85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</row>
    <row r="26" spans="1:15" ht="15" customHeight="1" thickTop="1" thickBot="1">
      <c r="A26" s="6">
        <v>3.1</v>
      </c>
      <c r="B26" s="6">
        <v>15</v>
      </c>
      <c r="C26" s="3">
        <v>240</v>
      </c>
      <c r="D26" s="30">
        <f>A26*1000/(B26*C26)</f>
        <v>0.86111111111111116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spans="1:15" ht="15" customHeight="1" thickTop="1">
      <c r="A27" s="88"/>
      <c r="B27" s="88"/>
      <c r="C27" s="86"/>
      <c r="D27" s="89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</row>
    <row r="28" spans="1:15" ht="15" customHeight="1">
      <c r="A28" s="226" t="s">
        <v>108</v>
      </c>
      <c r="B28" s="229"/>
      <c r="C28" s="229"/>
      <c r="D28" s="229"/>
      <c r="E28" s="151"/>
      <c r="F28" s="151"/>
      <c r="G28" s="151"/>
      <c r="H28" s="228"/>
      <c r="I28" s="83"/>
      <c r="J28" s="83"/>
      <c r="K28" s="83"/>
      <c r="L28" s="83"/>
      <c r="M28" s="83"/>
      <c r="N28" s="83"/>
      <c r="O28" s="83"/>
    </row>
    <row r="29" spans="1:15" ht="15" customHeight="1">
      <c r="A29" s="49" t="s">
        <v>109</v>
      </c>
      <c r="B29" s="49" t="s">
        <v>80</v>
      </c>
      <c r="C29" s="82" t="s">
        <v>68</v>
      </c>
      <c r="D29" s="51" t="s">
        <v>112</v>
      </c>
      <c r="E29" s="51" t="s">
        <v>114</v>
      </c>
      <c r="F29" s="51" t="s">
        <v>109</v>
      </c>
      <c r="G29" s="51" t="s">
        <v>117</v>
      </c>
      <c r="H29" s="51" t="s">
        <v>117</v>
      </c>
      <c r="I29" s="83"/>
      <c r="J29" s="83"/>
      <c r="K29" s="83"/>
      <c r="L29" s="83"/>
      <c r="M29" s="83"/>
      <c r="N29" s="83"/>
      <c r="O29" s="83"/>
    </row>
    <row r="30" spans="1:15" ht="15" customHeight="1">
      <c r="A30" s="52" t="s">
        <v>110</v>
      </c>
      <c r="B30" s="52"/>
      <c r="C30" s="52" t="s">
        <v>79</v>
      </c>
      <c r="D30" s="53" t="s">
        <v>109</v>
      </c>
      <c r="E30" s="53" t="s">
        <v>115</v>
      </c>
      <c r="F30" s="53" t="s">
        <v>116</v>
      </c>
      <c r="G30" s="53" t="s">
        <v>118</v>
      </c>
      <c r="H30" s="53" t="s">
        <v>116</v>
      </c>
      <c r="I30" s="83"/>
      <c r="J30" s="83"/>
      <c r="K30" s="83"/>
      <c r="L30" s="83"/>
      <c r="M30" s="83"/>
      <c r="N30" s="83"/>
      <c r="O30" s="83"/>
    </row>
    <row r="31" spans="1:15" ht="15" customHeight="1" thickBot="1">
      <c r="A31" s="49" t="s">
        <v>111</v>
      </c>
      <c r="B31" s="49" t="s">
        <v>43</v>
      </c>
      <c r="C31" s="49" t="s">
        <v>42</v>
      </c>
      <c r="D31" s="51" t="s">
        <v>113</v>
      </c>
      <c r="E31" s="51" t="s">
        <v>120</v>
      </c>
      <c r="F31" s="49" t="s">
        <v>111</v>
      </c>
      <c r="G31" s="49" t="s">
        <v>119</v>
      </c>
      <c r="H31" s="49" t="s">
        <v>119</v>
      </c>
      <c r="I31" s="83"/>
      <c r="J31" s="83"/>
      <c r="K31" s="83"/>
      <c r="L31" s="83"/>
      <c r="M31" s="83"/>
      <c r="N31" s="83"/>
      <c r="O31" s="83"/>
    </row>
    <row r="32" spans="1:15" ht="15" customHeight="1" thickTop="1" thickBot="1">
      <c r="A32" s="3">
        <v>50</v>
      </c>
      <c r="B32" s="3">
        <v>15</v>
      </c>
      <c r="C32" s="3">
        <v>400</v>
      </c>
      <c r="D32" s="47">
        <f>+A32/((C32/1000)*(3600/B32))</f>
        <v>0.52083333333333337</v>
      </c>
      <c r="E32" s="42">
        <v>6000</v>
      </c>
      <c r="F32" s="43">
        <f>+A32*E32</f>
        <v>300000</v>
      </c>
      <c r="G32" s="42">
        <v>0.16</v>
      </c>
      <c r="H32" s="43">
        <f>+A32*E32*G32</f>
        <v>48000</v>
      </c>
      <c r="I32" s="83"/>
      <c r="J32" s="83"/>
      <c r="K32" s="83"/>
      <c r="L32" s="83"/>
      <c r="M32" s="83"/>
      <c r="N32" s="83"/>
      <c r="O32" s="83"/>
    </row>
    <row r="33" spans="1:15" ht="15" customHeight="1" thickTop="1" thickBot="1">
      <c r="A33" s="7">
        <f>+(3600/B33)*(C33/1000)*D33</f>
        <v>28.8</v>
      </c>
      <c r="B33" s="3">
        <v>8</v>
      </c>
      <c r="C33" s="3">
        <f>2.5*64</f>
        <v>160</v>
      </c>
      <c r="D33" s="48">
        <v>0.4</v>
      </c>
      <c r="E33" s="42">
        <f>24*350</f>
        <v>8400</v>
      </c>
      <c r="F33" s="43">
        <f>+A33*E33</f>
        <v>241920</v>
      </c>
      <c r="G33" s="42">
        <v>0.16</v>
      </c>
      <c r="H33" s="140">
        <f>+A33*E33*G33</f>
        <v>38707.200000000004</v>
      </c>
      <c r="I33" s="83"/>
      <c r="J33" s="83"/>
      <c r="K33" s="83"/>
      <c r="L33" s="83"/>
      <c r="M33" s="83"/>
      <c r="N33" s="83"/>
      <c r="O33" s="83"/>
    </row>
    <row r="34" spans="1:15" ht="15" customHeight="1" thickTop="1">
      <c r="A34" s="88"/>
      <c r="B34" s="88"/>
      <c r="C34" s="86"/>
      <c r="D34" s="89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</row>
    <row r="35" spans="1:15" ht="15" customHeight="1">
      <c r="A35" s="226" t="s">
        <v>8</v>
      </c>
      <c r="B35" s="229"/>
      <c r="C35" s="229"/>
      <c r="D35" s="230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</row>
    <row r="36" spans="1:15" ht="15" customHeight="1">
      <c r="A36" s="67" t="s">
        <v>9</v>
      </c>
      <c r="B36" s="67" t="s">
        <v>10</v>
      </c>
      <c r="C36" s="81" t="s">
        <v>62</v>
      </c>
      <c r="D36" s="67" t="s">
        <v>11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</row>
    <row r="37" spans="1:15" ht="15" customHeight="1" thickBot="1">
      <c r="A37" s="49" t="s">
        <v>40</v>
      </c>
      <c r="B37" s="49" t="s">
        <v>40</v>
      </c>
      <c r="C37" s="49" t="s">
        <v>40</v>
      </c>
      <c r="D37" s="49" t="s">
        <v>40</v>
      </c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</row>
    <row r="38" spans="1:15" ht="15" customHeight="1" thickTop="1" thickBot="1">
      <c r="A38" s="41">
        <v>800</v>
      </c>
      <c r="B38" s="41">
        <v>800</v>
      </c>
      <c r="C38" s="41">
        <v>130</v>
      </c>
      <c r="D38" s="231">
        <f>(((A38+C38)^2+(B38+C38)^2)^0.5)-C38</f>
        <v>1185.2186130069783</v>
      </c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</row>
    <row r="39" spans="1:15" ht="15" customHeight="1" thickTop="1">
      <c r="A39" s="91"/>
      <c r="B39" s="91"/>
      <c r="C39" s="91"/>
      <c r="D39" s="90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</row>
    <row r="40" spans="1:15" ht="15" customHeight="1">
      <c r="A40" s="226" t="s">
        <v>162</v>
      </c>
      <c r="B40" s="151"/>
      <c r="C40" s="151"/>
      <c r="D40" s="151"/>
      <c r="E40" s="151"/>
      <c r="F40" s="152"/>
      <c r="G40" s="80" t="s">
        <v>259</v>
      </c>
      <c r="H40" s="232" t="s">
        <v>260</v>
      </c>
      <c r="I40" s="83"/>
      <c r="J40" s="83"/>
      <c r="K40" s="83"/>
      <c r="L40" s="83"/>
      <c r="M40" s="83"/>
      <c r="N40" s="83"/>
      <c r="O40" s="83"/>
    </row>
    <row r="41" spans="1:15" ht="15" customHeight="1">
      <c r="A41" s="75" t="s">
        <v>59</v>
      </c>
      <c r="B41" s="75" t="s">
        <v>60</v>
      </c>
      <c r="C41" s="76" t="s">
        <v>62</v>
      </c>
      <c r="D41" s="76" t="s">
        <v>63</v>
      </c>
      <c r="E41" s="67" t="s">
        <v>75</v>
      </c>
      <c r="F41" s="77" t="s">
        <v>75</v>
      </c>
      <c r="G41" s="78" t="s">
        <v>166</v>
      </c>
      <c r="H41" s="233" t="s">
        <v>246</v>
      </c>
      <c r="I41" s="83"/>
      <c r="J41" s="83"/>
      <c r="K41" s="83"/>
      <c r="L41" s="83"/>
      <c r="M41" s="83"/>
      <c r="N41" s="83"/>
      <c r="O41" s="83"/>
    </row>
    <row r="42" spans="1:15" ht="15" customHeight="1" thickBot="1">
      <c r="A42" s="49" t="s">
        <v>40</v>
      </c>
      <c r="B42" s="51" t="s">
        <v>40</v>
      </c>
      <c r="C42" s="51" t="s">
        <v>40</v>
      </c>
      <c r="D42" s="51" t="s">
        <v>64</v>
      </c>
      <c r="E42" s="51" t="s">
        <v>107</v>
      </c>
      <c r="F42" s="79" t="s">
        <v>61</v>
      </c>
      <c r="G42" s="80" t="s">
        <v>61</v>
      </c>
      <c r="H42" s="232" t="s">
        <v>61</v>
      </c>
      <c r="I42" s="83"/>
      <c r="J42" s="83"/>
      <c r="K42" s="83"/>
      <c r="L42" s="83"/>
      <c r="M42" s="83"/>
      <c r="N42" s="83"/>
      <c r="O42" s="83"/>
    </row>
    <row r="43" spans="1:15" ht="15" customHeight="1" thickTop="1" thickBot="1">
      <c r="A43" s="234">
        <f>+F43*9710*B43/(D43*4*3.1416*(C43/2)^2)</f>
        <v>0.82466840903027883</v>
      </c>
      <c r="B43" s="42">
        <v>2200</v>
      </c>
      <c r="C43" s="42">
        <v>80</v>
      </c>
      <c r="D43" s="43">
        <v>210000</v>
      </c>
      <c r="E43" s="140">
        <f>+F43*9.81</f>
        <v>1599.03</v>
      </c>
      <c r="F43" s="44">
        <v>163</v>
      </c>
      <c r="G43" s="46">
        <f>+(4*3.1416*(C43/2)^2)*850/9810</f>
        <v>1742.1308868501528</v>
      </c>
      <c r="H43" s="235">
        <f>+(4*3.1416*(C43/2)^2)*1100/9810</f>
        <v>2254.5223241590211</v>
      </c>
      <c r="I43" s="83"/>
      <c r="J43" s="83"/>
      <c r="K43" s="83"/>
      <c r="L43" s="83"/>
      <c r="M43" s="83"/>
      <c r="N43" s="83"/>
      <c r="O43" s="83"/>
    </row>
    <row r="44" spans="1:15" ht="15" customHeight="1" thickTop="1" thickBot="1">
      <c r="A44" s="236">
        <v>0.83</v>
      </c>
      <c r="B44" s="40">
        <v>2200</v>
      </c>
      <c r="C44" s="40">
        <v>80</v>
      </c>
      <c r="D44" s="39">
        <v>210000</v>
      </c>
      <c r="E44" s="29">
        <f>+D44*(A44/B44)*(4*3.1416*(C44/2)^2/1000)</f>
        <v>1592.9625599999997</v>
      </c>
      <c r="F44" s="45">
        <f>+E44/9.81</f>
        <v>162.38150458715592</v>
      </c>
      <c r="G44" s="46">
        <f>+(4*3.1416*(C44/2)^2)*850/9810</f>
        <v>1742.1308868501528</v>
      </c>
      <c r="H44" s="235">
        <f>+(4*3.1416*(C44/2)^2)*1100/9810</f>
        <v>2254.5223241590211</v>
      </c>
      <c r="I44" s="83"/>
      <c r="J44" s="83"/>
      <c r="K44" s="83"/>
      <c r="L44" s="83"/>
      <c r="M44" s="83"/>
      <c r="N44" s="83"/>
      <c r="O44" s="83"/>
    </row>
    <row r="45" spans="1:15" ht="15" customHeight="1" thickTop="1" thickBot="1">
      <c r="A45" s="185"/>
      <c r="B45" s="102"/>
      <c r="C45" s="102"/>
      <c r="D45" s="101"/>
      <c r="E45" s="94"/>
      <c r="F45" s="94"/>
      <c r="G45" s="95"/>
      <c r="H45" s="93"/>
      <c r="I45" s="83"/>
      <c r="J45" s="83"/>
      <c r="K45" s="83"/>
      <c r="L45" s="83"/>
      <c r="M45" s="83"/>
      <c r="N45" s="83"/>
      <c r="O45" s="83"/>
    </row>
    <row r="46" spans="1:15" ht="15" customHeight="1" thickTop="1">
      <c r="A46" s="355" t="s">
        <v>342</v>
      </c>
      <c r="B46" s="356"/>
      <c r="C46" s="356"/>
      <c r="D46" s="357"/>
      <c r="E46" s="192" t="s">
        <v>45</v>
      </c>
      <c r="F46" s="96"/>
      <c r="G46" s="96"/>
      <c r="H46" s="83"/>
      <c r="I46" s="83"/>
      <c r="J46" s="83"/>
      <c r="K46" s="83"/>
      <c r="L46" s="83"/>
      <c r="M46" s="83"/>
      <c r="N46" s="83"/>
      <c r="O46" s="83"/>
    </row>
    <row r="47" spans="1:15" ht="15" customHeight="1">
      <c r="A47" s="193" t="s">
        <v>69</v>
      </c>
      <c r="B47" s="67" t="s">
        <v>70</v>
      </c>
      <c r="C47" s="67" t="s">
        <v>11</v>
      </c>
      <c r="D47" s="67" t="s">
        <v>12</v>
      </c>
      <c r="E47" s="194" t="s">
        <v>68</v>
      </c>
      <c r="F47" s="83"/>
      <c r="G47" s="83"/>
      <c r="H47" s="83"/>
      <c r="I47" s="83"/>
      <c r="J47" s="83"/>
      <c r="K47" s="83"/>
      <c r="L47" s="83"/>
      <c r="M47" s="83"/>
      <c r="N47" s="83"/>
      <c r="O47" s="83"/>
    </row>
    <row r="48" spans="1:15" ht="15" customHeight="1">
      <c r="A48" s="195" t="s">
        <v>40</v>
      </c>
      <c r="B48" s="49" t="s">
        <v>40</v>
      </c>
      <c r="C48" s="49" t="s">
        <v>40</v>
      </c>
      <c r="D48" s="49" t="s">
        <v>40</v>
      </c>
      <c r="E48" s="196" t="s">
        <v>67</v>
      </c>
      <c r="F48" s="83"/>
      <c r="G48" s="83"/>
      <c r="H48" s="83"/>
      <c r="I48" s="83"/>
      <c r="J48" s="83"/>
      <c r="K48" s="83"/>
      <c r="L48" s="83"/>
      <c r="M48" s="83"/>
      <c r="N48" s="83"/>
      <c r="O48" s="83"/>
    </row>
    <row r="49" spans="1:256" ht="15" customHeight="1">
      <c r="A49" s="197">
        <v>1100</v>
      </c>
      <c r="B49" s="176">
        <v>1150</v>
      </c>
      <c r="C49" s="177">
        <f>(A49^2+B49^2)^0.5</f>
        <v>1591.3830462839549</v>
      </c>
      <c r="D49" s="176">
        <v>510</v>
      </c>
      <c r="E49" s="198">
        <f>A49*B49*D49*7.86/1000000</f>
        <v>5070.8789999999999</v>
      </c>
      <c r="F49" s="83"/>
      <c r="G49" s="83"/>
      <c r="H49" s="83"/>
      <c r="I49" s="83"/>
      <c r="J49" s="83"/>
      <c r="K49" s="83"/>
      <c r="L49" s="83"/>
      <c r="M49" s="83"/>
      <c r="N49" s="83"/>
      <c r="O49" s="83"/>
    </row>
    <row r="50" spans="1:256" ht="15" customHeight="1">
      <c r="A50" s="199" t="s">
        <v>273</v>
      </c>
      <c r="B50" s="60" t="s">
        <v>73</v>
      </c>
      <c r="C50" s="52" t="s">
        <v>74</v>
      </c>
      <c r="D50" s="175" t="s">
        <v>77</v>
      </c>
      <c r="E50" s="200" t="s">
        <v>76</v>
      </c>
      <c r="F50" s="83"/>
      <c r="G50" s="83"/>
      <c r="H50" s="83"/>
      <c r="I50" s="83"/>
      <c r="J50" s="83"/>
      <c r="K50" s="83"/>
      <c r="L50" s="83"/>
      <c r="M50" s="83"/>
      <c r="N50" s="83"/>
      <c r="O50" s="83"/>
    </row>
    <row r="51" spans="1:256" ht="15" customHeight="1">
      <c r="A51" s="195" t="s">
        <v>51</v>
      </c>
      <c r="B51" s="49" t="s">
        <v>72</v>
      </c>
      <c r="C51" s="49" t="s">
        <v>72</v>
      </c>
      <c r="D51" s="139" t="s">
        <v>52</v>
      </c>
      <c r="E51" s="201" t="s">
        <v>251</v>
      </c>
      <c r="F51" s="83"/>
      <c r="G51" s="83"/>
      <c r="H51" s="83"/>
      <c r="I51" s="83"/>
      <c r="J51" s="83"/>
      <c r="K51" s="83"/>
      <c r="L51" s="83"/>
      <c r="M51" s="83"/>
      <c r="N51" s="83"/>
      <c r="O51" s="83"/>
    </row>
    <row r="52" spans="1:256" ht="15" customHeight="1" thickBot="1">
      <c r="A52" s="202">
        <v>36</v>
      </c>
      <c r="B52" s="203">
        <v>15</v>
      </c>
      <c r="C52" s="203">
        <v>70</v>
      </c>
      <c r="D52" s="204">
        <f>60*((E49*(+B63*(C52-B52))*1000)/860000)/A52</f>
        <v>59.995574215116285</v>
      </c>
      <c r="E52" s="358" t="s">
        <v>353</v>
      </c>
      <c r="F52" s="83"/>
      <c r="G52" s="83"/>
      <c r="H52" s="83"/>
      <c r="I52" s="83"/>
      <c r="J52" s="83"/>
      <c r="K52" s="83"/>
      <c r="L52" s="83"/>
      <c r="M52" s="83"/>
      <c r="N52" s="83"/>
      <c r="O52" s="83"/>
    </row>
    <row r="53" spans="1:256" s="341" customFormat="1" ht="15" customHeight="1" thickTop="1">
      <c r="A53" s="339"/>
      <c r="B53" s="339"/>
      <c r="C53" s="339"/>
      <c r="D53" s="340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  <c r="DZ53" s="155"/>
      <c r="EA53" s="155"/>
      <c r="EB53" s="155"/>
      <c r="EC53" s="155"/>
      <c r="ED53" s="155"/>
      <c r="EE53" s="155"/>
      <c r="EF53" s="155"/>
      <c r="EG53" s="155"/>
      <c r="EH53" s="155"/>
      <c r="EI53" s="155"/>
      <c r="EJ53" s="155"/>
      <c r="EK53" s="155"/>
      <c r="EL53" s="155"/>
      <c r="EM53" s="155"/>
      <c r="EN53" s="155"/>
      <c r="EO53" s="155"/>
      <c r="EP53" s="155"/>
      <c r="EQ53" s="155"/>
      <c r="ER53" s="155"/>
      <c r="ES53" s="155"/>
      <c r="ET53" s="155"/>
      <c r="EU53" s="155"/>
      <c r="EV53" s="155"/>
      <c r="EW53" s="155"/>
      <c r="EX53" s="155"/>
      <c r="EY53" s="155"/>
      <c r="EZ53" s="155"/>
      <c r="FA53" s="155"/>
      <c r="FB53" s="155"/>
      <c r="FC53" s="155"/>
      <c r="FD53" s="155"/>
      <c r="FE53" s="155"/>
      <c r="FF53" s="155"/>
      <c r="FG53" s="155"/>
      <c r="FH53" s="155"/>
      <c r="FI53" s="155"/>
      <c r="FJ53" s="155"/>
      <c r="FK53" s="155"/>
      <c r="FL53" s="155"/>
      <c r="FM53" s="155"/>
      <c r="FN53" s="155"/>
      <c r="FO53" s="155"/>
      <c r="FP53" s="155"/>
      <c r="FQ53" s="155"/>
      <c r="FR53" s="155"/>
      <c r="FS53" s="155"/>
      <c r="FT53" s="155"/>
      <c r="FU53" s="155"/>
      <c r="FV53" s="155"/>
      <c r="FW53" s="155"/>
      <c r="FX53" s="155"/>
      <c r="FY53" s="155"/>
      <c r="FZ53" s="155"/>
      <c r="GA53" s="155"/>
      <c r="GB53" s="155"/>
      <c r="GC53" s="155"/>
      <c r="GD53" s="155"/>
      <c r="GE53" s="155"/>
      <c r="GF53" s="155"/>
      <c r="GG53" s="155"/>
      <c r="GH53" s="155"/>
      <c r="GI53" s="155"/>
      <c r="GJ53" s="155"/>
      <c r="GK53" s="155"/>
      <c r="GL53" s="155"/>
      <c r="GM53" s="155"/>
      <c r="GN53" s="155"/>
      <c r="GO53" s="155"/>
      <c r="GP53" s="155"/>
      <c r="GQ53" s="155"/>
      <c r="GR53" s="155"/>
      <c r="GS53" s="155"/>
      <c r="GT53" s="155"/>
      <c r="GU53" s="155"/>
      <c r="GV53" s="155"/>
      <c r="GW53" s="155"/>
      <c r="GX53" s="155"/>
      <c r="GY53" s="155"/>
      <c r="GZ53" s="155"/>
      <c r="HA53" s="155"/>
      <c r="HB53" s="155"/>
      <c r="HC53" s="155"/>
      <c r="HD53" s="155"/>
      <c r="HE53" s="155"/>
      <c r="HF53" s="155"/>
      <c r="HG53" s="155"/>
      <c r="HH53" s="155"/>
      <c r="HI53" s="155"/>
      <c r="HJ53" s="155"/>
      <c r="HK53" s="155"/>
      <c r="HL53" s="155"/>
      <c r="HM53" s="155"/>
      <c r="HN53" s="155"/>
      <c r="HO53" s="155"/>
      <c r="HP53" s="155"/>
      <c r="HQ53" s="155"/>
      <c r="HR53" s="155"/>
      <c r="HS53" s="155"/>
      <c r="HT53" s="155"/>
      <c r="HU53" s="155"/>
      <c r="HV53" s="155"/>
      <c r="HW53" s="155"/>
      <c r="HX53" s="155"/>
      <c r="HY53" s="155"/>
      <c r="HZ53" s="155"/>
      <c r="IA53" s="155"/>
      <c r="IB53" s="155"/>
      <c r="IC53" s="155"/>
      <c r="ID53" s="155"/>
      <c r="IE53" s="155"/>
      <c r="IF53" s="155"/>
      <c r="IG53" s="155"/>
      <c r="IH53" s="155"/>
      <c r="II53" s="155"/>
      <c r="IJ53" s="155"/>
      <c r="IK53" s="155"/>
      <c r="IL53" s="155"/>
      <c r="IM53" s="155"/>
      <c r="IN53" s="155"/>
      <c r="IO53" s="155"/>
      <c r="IP53" s="155"/>
      <c r="IQ53" s="155"/>
      <c r="IR53" s="155"/>
      <c r="IS53" s="155"/>
      <c r="IT53" s="155"/>
      <c r="IU53" s="155"/>
      <c r="IV53" s="155"/>
    </row>
    <row r="54" spans="1:256" s="341" customFormat="1" ht="15" customHeight="1">
      <c r="A54" s="343" t="s">
        <v>352</v>
      </c>
      <c r="B54" s="351"/>
      <c r="C54" s="344"/>
      <c r="D54" s="340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  <c r="DT54" s="155"/>
      <c r="DU54" s="155"/>
      <c r="DV54" s="155"/>
      <c r="DW54" s="155"/>
      <c r="DX54" s="155"/>
      <c r="DY54" s="155"/>
      <c r="DZ54" s="155"/>
      <c r="EA54" s="155"/>
      <c r="EB54" s="155"/>
      <c r="EC54" s="155"/>
      <c r="ED54" s="155"/>
      <c r="EE54" s="155"/>
      <c r="EF54" s="155"/>
      <c r="EG54" s="155"/>
      <c r="EH54" s="155"/>
      <c r="EI54" s="155"/>
      <c r="EJ54" s="155"/>
      <c r="EK54" s="155"/>
      <c r="EL54" s="155"/>
      <c r="EM54" s="155"/>
      <c r="EN54" s="155"/>
      <c r="EO54" s="155"/>
      <c r="EP54" s="155"/>
      <c r="EQ54" s="155"/>
      <c r="ER54" s="155"/>
      <c r="ES54" s="155"/>
      <c r="ET54" s="155"/>
      <c r="EU54" s="155"/>
      <c r="EV54" s="155"/>
      <c r="EW54" s="155"/>
      <c r="EX54" s="155"/>
      <c r="EY54" s="155"/>
      <c r="EZ54" s="155"/>
      <c r="FA54" s="155"/>
      <c r="FB54" s="155"/>
      <c r="FC54" s="155"/>
      <c r="FD54" s="155"/>
      <c r="FE54" s="155"/>
      <c r="FF54" s="155"/>
      <c r="FG54" s="155"/>
      <c r="FH54" s="155"/>
      <c r="FI54" s="155"/>
      <c r="FJ54" s="155"/>
      <c r="FK54" s="155"/>
      <c r="FL54" s="155"/>
      <c r="FM54" s="155"/>
      <c r="FN54" s="155"/>
      <c r="FO54" s="155"/>
      <c r="FP54" s="155"/>
      <c r="FQ54" s="155"/>
      <c r="FR54" s="155"/>
      <c r="FS54" s="155"/>
      <c r="FT54" s="155"/>
      <c r="FU54" s="155"/>
      <c r="FV54" s="155"/>
      <c r="FW54" s="155"/>
      <c r="FX54" s="155"/>
      <c r="FY54" s="155"/>
      <c r="FZ54" s="155"/>
      <c r="GA54" s="155"/>
      <c r="GB54" s="155"/>
      <c r="GC54" s="155"/>
      <c r="GD54" s="155"/>
      <c r="GE54" s="155"/>
      <c r="GF54" s="155"/>
      <c r="GG54" s="155"/>
      <c r="GH54" s="155"/>
      <c r="GI54" s="155"/>
      <c r="GJ54" s="155"/>
      <c r="GK54" s="155"/>
      <c r="GL54" s="155"/>
      <c r="GM54" s="155"/>
      <c r="GN54" s="155"/>
      <c r="GO54" s="155"/>
      <c r="GP54" s="155"/>
      <c r="GQ54" s="155"/>
      <c r="GR54" s="155"/>
      <c r="GS54" s="155"/>
      <c r="GT54" s="155"/>
      <c r="GU54" s="155"/>
      <c r="GV54" s="155"/>
      <c r="GW54" s="155"/>
      <c r="GX54" s="155"/>
      <c r="GY54" s="155"/>
      <c r="GZ54" s="155"/>
      <c r="HA54" s="155"/>
      <c r="HB54" s="155"/>
      <c r="HC54" s="155"/>
      <c r="HD54" s="155"/>
      <c r="HE54" s="155"/>
      <c r="HF54" s="155"/>
      <c r="HG54" s="155"/>
      <c r="HH54" s="155"/>
      <c r="HI54" s="155"/>
      <c r="HJ54" s="155"/>
      <c r="HK54" s="155"/>
      <c r="HL54" s="155"/>
      <c r="HM54" s="155"/>
      <c r="HN54" s="155"/>
      <c r="HO54" s="155"/>
      <c r="HP54" s="155"/>
      <c r="HQ54" s="155"/>
      <c r="HR54" s="155"/>
      <c r="HS54" s="155"/>
      <c r="HT54" s="155"/>
      <c r="HU54" s="155"/>
      <c r="HV54" s="155"/>
      <c r="HW54" s="155"/>
      <c r="HX54" s="155"/>
      <c r="HY54" s="155"/>
      <c r="HZ54" s="155"/>
      <c r="IA54" s="155"/>
      <c r="IB54" s="155"/>
      <c r="IC54" s="155"/>
      <c r="ID54" s="155"/>
      <c r="IE54" s="155"/>
      <c r="IF54" s="155"/>
      <c r="IG54" s="155"/>
      <c r="IH54" s="155"/>
      <c r="II54" s="155"/>
      <c r="IJ54" s="155"/>
      <c r="IK54" s="155"/>
      <c r="IL54" s="155"/>
      <c r="IM54" s="155"/>
      <c r="IN54" s="155"/>
      <c r="IO54" s="155"/>
      <c r="IP54" s="155"/>
      <c r="IQ54" s="155"/>
      <c r="IR54" s="155"/>
      <c r="IS54" s="155"/>
      <c r="IT54" s="155"/>
      <c r="IU54" s="155"/>
      <c r="IV54" s="155"/>
    </row>
    <row r="55" spans="1:256" s="341" customFormat="1" ht="15" customHeight="1">
      <c r="A55" s="347"/>
      <c r="B55" s="350" t="s">
        <v>350</v>
      </c>
      <c r="C55" s="348" t="s">
        <v>68</v>
      </c>
      <c r="D55" s="340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  <c r="DT55" s="155"/>
      <c r="DU55" s="155"/>
      <c r="DV55" s="155"/>
      <c r="DW55" s="155"/>
      <c r="DX55" s="155"/>
      <c r="DY55" s="155"/>
      <c r="DZ55" s="155"/>
      <c r="EA55" s="155"/>
      <c r="EB55" s="155"/>
      <c r="EC55" s="155"/>
      <c r="ED55" s="155"/>
      <c r="EE55" s="155"/>
      <c r="EF55" s="155"/>
      <c r="EG55" s="155"/>
      <c r="EH55" s="155"/>
      <c r="EI55" s="155"/>
      <c r="EJ55" s="155"/>
      <c r="EK55" s="155"/>
      <c r="EL55" s="155"/>
      <c r="EM55" s="155"/>
      <c r="EN55" s="155"/>
      <c r="EO55" s="155"/>
      <c r="EP55" s="155"/>
      <c r="EQ55" s="155"/>
      <c r="ER55" s="155"/>
      <c r="ES55" s="155"/>
      <c r="ET55" s="155"/>
      <c r="EU55" s="155"/>
      <c r="EV55" s="155"/>
      <c r="EW55" s="155"/>
      <c r="EX55" s="155"/>
      <c r="EY55" s="155"/>
      <c r="EZ55" s="155"/>
      <c r="FA55" s="155"/>
      <c r="FB55" s="155"/>
      <c r="FC55" s="155"/>
      <c r="FD55" s="155"/>
      <c r="FE55" s="155"/>
      <c r="FF55" s="155"/>
      <c r="FG55" s="155"/>
      <c r="FH55" s="155"/>
      <c r="FI55" s="155"/>
      <c r="FJ55" s="155"/>
      <c r="FK55" s="155"/>
      <c r="FL55" s="155"/>
      <c r="FM55" s="155"/>
      <c r="FN55" s="155"/>
      <c r="FO55" s="155"/>
      <c r="FP55" s="155"/>
      <c r="FQ55" s="155"/>
      <c r="FR55" s="155"/>
      <c r="FS55" s="155"/>
      <c r="FT55" s="155"/>
      <c r="FU55" s="155"/>
      <c r="FV55" s="155"/>
      <c r="FW55" s="155"/>
      <c r="FX55" s="155"/>
      <c r="FY55" s="155"/>
      <c r="FZ55" s="155"/>
      <c r="GA55" s="155"/>
      <c r="GB55" s="155"/>
      <c r="GC55" s="155"/>
      <c r="GD55" s="155"/>
      <c r="GE55" s="155"/>
      <c r="GF55" s="155"/>
      <c r="GG55" s="155"/>
      <c r="GH55" s="155"/>
      <c r="GI55" s="155"/>
      <c r="GJ55" s="155"/>
      <c r="GK55" s="155"/>
      <c r="GL55" s="155"/>
      <c r="GM55" s="155"/>
      <c r="GN55" s="155"/>
      <c r="GO55" s="155"/>
      <c r="GP55" s="155"/>
      <c r="GQ55" s="155"/>
      <c r="GR55" s="155"/>
      <c r="GS55" s="155"/>
      <c r="GT55" s="155"/>
      <c r="GU55" s="155"/>
      <c r="GV55" s="155"/>
      <c r="GW55" s="155"/>
      <c r="GX55" s="155"/>
      <c r="GY55" s="155"/>
      <c r="GZ55" s="155"/>
      <c r="HA55" s="155"/>
      <c r="HB55" s="155"/>
      <c r="HC55" s="155"/>
      <c r="HD55" s="155"/>
      <c r="HE55" s="155"/>
      <c r="HF55" s="155"/>
      <c r="HG55" s="155"/>
      <c r="HH55" s="155"/>
      <c r="HI55" s="155"/>
      <c r="HJ55" s="155"/>
      <c r="HK55" s="155"/>
      <c r="HL55" s="155"/>
      <c r="HM55" s="155"/>
      <c r="HN55" s="155"/>
      <c r="HO55" s="155"/>
      <c r="HP55" s="155"/>
      <c r="HQ55" s="155"/>
      <c r="HR55" s="155"/>
      <c r="HS55" s="155"/>
      <c r="HT55" s="155"/>
      <c r="HU55" s="155"/>
      <c r="HV55" s="155"/>
      <c r="HW55" s="155"/>
      <c r="HX55" s="155"/>
      <c r="HY55" s="155"/>
      <c r="HZ55" s="155"/>
      <c r="IA55" s="155"/>
      <c r="IB55" s="155"/>
      <c r="IC55" s="155"/>
      <c r="ID55" s="155"/>
      <c r="IE55" s="155"/>
      <c r="IF55" s="155"/>
      <c r="IG55" s="155"/>
      <c r="IH55" s="155"/>
      <c r="II55" s="155"/>
      <c r="IJ55" s="155"/>
      <c r="IK55" s="155"/>
      <c r="IL55" s="155"/>
      <c r="IM55" s="155"/>
      <c r="IN55" s="155"/>
      <c r="IO55" s="155"/>
      <c r="IP55" s="155"/>
      <c r="IQ55" s="155"/>
      <c r="IR55" s="155"/>
      <c r="IS55" s="155"/>
      <c r="IT55" s="155"/>
      <c r="IU55" s="155"/>
      <c r="IV55" s="155"/>
    </row>
    <row r="56" spans="1:256" s="341" customFormat="1" ht="15" customHeight="1">
      <c r="A56" s="347"/>
      <c r="B56" s="350" t="s">
        <v>271</v>
      </c>
      <c r="C56" s="348" t="s">
        <v>271</v>
      </c>
      <c r="D56" s="340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  <c r="DT56" s="155"/>
      <c r="DU56" s="155"/>
      <c r="DV56" s="155"/>
      <c r="DW56" s="155"/>
      <c r="DX56" s="155"/>
      <c r="DY56" s="155"/>
      <c r="DZ56" s="155"/>
      <c r="EA56" s="155"/>
      <c r="EB56" s="155"/>
      <c r="EC56" s="155"/>
      <c r="ED56" s="155"/>
      <c r="EE56" s="155"/>
      <c r="EF56" s="155"/>
      <c r="EG56" s="155"/>
      <c r="EH56" s="155"/>
      <c r="EI56" s="155"/>
      <c r="EJ56" s="155"/>
      <c r="EK56" s="155"/>
      <c r="EL56" s="155"/>
      <c r="EM56" s="155"/>
      <c r="EN56" s="155"/>
      <c r="EO56" s="155"/>
      <c r="EP56" s="155"/>
      <c r="EQ56" s="155"/>
      <c r="ER56" s="155"/>
      <c r="ES56" s="155"/>
      <c r="ET56" s="155"/>
      <c r="EU56" s="155"/>
      <c r="EV56" s="155"/>
      <c r="EW56" s="155"/>
      <c r="EX56" s="155"/>
      <c r="EY56" s="155"/>
      <c r="EZ56" s="155"/>
      <c r="FA56" s="155"/>
      <c r="FB56" s="155"/>
      <c r="FC56" s="155"/>
      <c r="FD56" s="155"/>
      <c r="FE56" s="155"/>
      <c r="FF56" s="155"/>
      <c r="FG56" s="155"/>
      <c r="FH56" s="155"/>
      <c r="FI56" s="155"/>
      <c r="FJ56" s="155"/>
      <c r="FK56" s="155"/>
      <c r="FL56" s="155"/>
      <c r="FM56" s="155"/>
      <c r="FN56" s="155"/>
      <c r="FO56" s="155"/>
      <c r="FP56" s="155"/>
      <c r="FQ56" s="155"/>
      <c r="FR56" s="155"/>
      <c r="FS56" s="155"/>
      <c r="FT56" s="155"/>
      <c r="FU56" s="155"/>
      <c r="FV56" s="155"/>
      <c r="FW56" s="155"/>
      <c r="FX56" s="155"/>
      <c r="FY56" s="155"/>
      <c r="FZ56" s="155"/>
      <c r="GA56" s="155"/>
      <c r="GB56" s="155"/>
      <c r="GC56" s="155"/>
      <c r="GD56" s="155"/>
      <c r="GE56" s="155"/>
      <c r="GF56" s="155"/>
      <c r="GG56" s="155"/>
      <c r="GH56" s="155"/>
      <c r="GI56" s="155"/>
      <c r="GJ56" s="155"/>
      <c r="GK56" s="155"/>
      <c r="GL56" s="155"/>
      <c r="GM56" s="155"/>
      <c r="GN56" s="155"/>
      <c r="GO56" s="155"/>
      <c r="GP56" s="155"/>
      <c r="GQ56" s="155"/>
      <c r="GR56" s="155"/>
      <c r="GS56" s="155"/>
      <c r="GT56" s="155"/>
      <c r="GU56" s="155"/>
      <c r="GV56" s="155"/>
      <c r="GW56" s="155"/>
      <c r="GX56" s="155"/>
      <c r="GY56" s="155"/>
      <c r="GZ56" s="155"/>
      <c r="HA56" s="155"/>
      <c r="HB56" s="155"/>
      <c r="HC56" s="155"/>
      <c r="HD56" s="155"/>
      <c r="HE56" s="155"/>
      <c r="HF56" s="155"/>
      <c r="HG56" s="155"/>
      <c r="HH56" s="155"/>
      <c r="HI56" s="155"/>
      <c r="HJ56" s="155"/>
      <c r="HK56" s="155"/>
      <c r="HL56" s="155"/>
      <c r="HM56" s="155"/>
      <c r="HN56" s="155"/>
      <c r="HO56" s="155"/>
      <c r="HP56" s="155"/>
      <c r="HQ56" s="155"/>
      <c r="HR56" s="155"/>
      <c r="HS56" s="155"/>
      <c r="HT56" s="155"/>
      <c r="HU56" s="155"/>
      <c r="HV56" s="155"/>
      <c r="HW56" s="155"/>
      <c r="HX56" s="155"/>
      <c r="HY56" s="155"/>
      <c r="HZ56" s="155"/>
      <c r="IA56" s="155"/>
      <c r="IB56" s="155"/>
      <c r="IC56" s="155"/>
      <c r="ID56" s="155"/>
      <c r="IE56" s="155"/>
      <c r="IF56" s="155"/>
      <c r="IG56" s="155"/>
      <c r="IH56" s="155"/>
      <c r="II56" s="155"/>
      <c r="IJ56" s="155"/>
      <c r="IK56" s="155"/>
      <c r="IL56" s="155"/>
      <c r="IM56" s="155"/>
      <c r="IN56" s="155"/>
      <c r="IO56" s="155"/>
      <c r="IP56" s="155"/>
      <c r="IQ56" s="155"/>
      <c r="IR56" s="155"/>
      <c r="IS56" s="155"/>
      <c r="IT56" s="155"/>
      <c r="IU56" s="155"/>
      <c r="IV56" s="155"/>
    </row>
    <row r="57" spans="1:256" s="341" customFormat="1" ht="15" customHeight="1">
      <c r="A57" s="349"/>
      <c r="B57" s="350" t="s">
        <v>211</v>
      </c>
      <c r="C57" s="348" t="s">
        <v>211</v>
      </c>
      <c r="D57" s="340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  <c r="DT57" s="155"/>
      <c r="DU57" s="155"/>
      <c r="DV57" s="155"/>
      <c r="DW57" s="155"/>
      <c r="DX57" s="155"/>
      <c r="DY57" s="155"/>
      <c r="DZ57" s="155"/>
      <c r="EA57" s="155"/>
      <c r="EB57" s="155"/>
      <c r="EC57" s="155"/>
      <c r="ED57" s="155"/>
      <c r="EE57" s="155"/>
      <c r="EF57" s="155"/>
      <c r="EG57" s="155"/>
      <c r="EH57" s="155"/>
      <c r="EI57" s="155"/>
      <c r="EJ57" s="155"/>
      <c r="EK57" s="155"/>
      <c r="EL57" s="155"/>
      <c r="EM57" s="155"/>
      <c r="EN57" s="155"/>
      <c r="EO57" s="155"/>
      <c r="EP57" s="155"/>
      <c r="EQ57" s="155"/>
      <c r="ER57" s="155"/>
      <c r="ES57" s="155"/>
      <c r="ET57" s="155"/>
      <c r="EU57" s="155"/>
      <c r="EV57" s="155"/>
      <c r="EW57" s="155"/>
      <c r="EX57" s="155"/>
      <c r="EY57" s="155"/>
      <c r="EZ57" s="155"/>
      <c r="FA57" s="155"/>
      <c r="FB57" s="155"/>
      <c r="FC57" s="155"/>
      <c r="FD57" s="155"/>
      <c r="FE57" s="155"/>
      <c r="FF57" s="155"/>
      <c r="FG57" s="155"/>
      <c r="FH57" s="155"/>
      <c r="FI57" s="155"/>
      <c r="FJ57" s="155"/>
      <c r="FK57" s="155"/>
      <c r="FL57" s="155"/>
      <c r="FM57" s="155"/>
      <c r="FN57" s="155"/>
      <c r="FO57" s="155"/>
      <c r="FP57" s="155"/>
      <c r="FQ57" s="155"/>
      <c r="FR57" s="155"/>
      <c r="FS57" s="155"/>
      <c r="FT57" s="155"/>
      <c r="FU57" s="155"/>
      <c r="FV57" s="155"/>
      <c r="FW57" s="155"/>
      <c r="FX57" s="155"/>
      <c r="FY57" s="155"/>
      <c r="FZ57" s="155"/>
      <c r="GA57" s="155"/>
      <c r="GB57" s="155"/>
      <c r="GC57" s="155"/>
      <c r="GD57" s="155"/>
      <c r="GE57" s="155"/>
      <c r="GF57" s="155"/>
      <c r="GG57" s="155"/>
      <c r="GH57" s="155"/>
      <c r="GI57" s="155"/>
      <c r="GJ57" s="155"/>
      <c r="GK57" s="155"/>
      <c r="GL57" s="155"/>
      <c r="GM57" s="155"/>
      <c r="GN57" s="155"/>
      <c r="GO57" s="155"/>
      <c r="GP57" s="155"/>
      <c r="GQ57" s="155"/>
      <c r="GR57" s="155"/>
      <c r="GS57" s="155"/>
      <c r="GT57" s="155"/>
      <c r="GU57" s="155"/>
      <c r="GV57" s="155"/>
      <c r="GW57" s="155"/>
      <c r="GX57" s="155"/>
      <c r="GY57" s="155"/>
      <c r="GZ57" s="155"/>
      <c r="HA57" s="155"/>
      <c r="HB57" s="155"/>
      <c r="HC57" s="155"/>
      <c r="HD57" s="155"/>
      <c r="HE57" s="155"/>
      <c r="HF57" s="155"/>
      <c r="HG57" s="155"/>
      <c r="HH57" s="155"/>
      <c r="HI57" s="155"/>
      <c r="HJ57" s="155"/>
      <c r="HK57" s="155"/>
      <c r="HL57" s="155"/>
      <c r="HM57" s="155"/>
      <c r="HN57" s="155"/>
      <c r="HO57" s="155"/>
      <c r="HP57" s="155"/>
      <c r="HQ57" s="155"/>
      <c r="HR57" s="155"/>
      <c r="HS57" s="155"/>
      <c r="HT57" s="155"/>
      <c r="HU57" s="155"/>
      <c r="HV57" s="155"/>
      <c r="HW57" s="155"/>
      <c r="HX57" s="155"/>
      <c r="HY57" s="155"/>
      <c r="HZ57" s="155"/>
      <c r="IA57" s="155"/>
      <c r="IB57" s="155"/>
      <c r="IC57" s="155"/>
      <c r="ID57" s="155"/>
      <c r="IE57" s="155"/>
      <c r="IF57" s="155"/>
      <c r="IG57" s="155"/>
      <c r="IH57" s="155"/>
      <c r="II57" s="155"/>
      <c r="IJ57" s="155"/>
      <c r="IK57" s="155"/>
      <c r="IL57" s="155"/>
      <c r="IM57" s="155"/>
      <c r="IN57" s="155"/>
      <c r="IO57" s="155"/>
      <c r="IP57" s="155"/>
      <c r="IQ57" s="155"/>
      <c r="IR57" s="155"/>
      <c r="IS57" s="155"/>
      <c r="IT57" s="155"/>
      <c r="IU57" s="155"/>
      <c r="IV57" s="155"/>
    </row>
    <row r="58" spans="1:256" s="341" customFormat="1" ht="15" customHeight="1" thickBot="1">
      <c r="A58" s="352" t="s">
        <v>53</v>
      </c>
      <c r="B58" s="352" t="s">
        <v>345</v>
      </c>
      <c r="C58" s="352" t="s">
        <v>351</v>
      </c>
      <c r="D58" s="340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  <c r="DT58" s="155"/>
      <c r="DU58" s="155"/>
      <c r="DV58" s="155"/>
      <c r="DW58" s="155"/>
      <c r="DX58" s="155"/>
      <c r="DY58" s="155"/>
      <c r="DZ58" s="155"/>
      <c r="EA58" s="155"/>
      <c r="EB58" s="155"/>
      <c r="EC58" s="155"/>
      <c r="ED58" s="155"/>
      <c r="EE58" s="155"/>
      <c r="EF58" s="155"/>
      <c r="EG58" s="155"/>
      <c r="EH58" s="155"/>
      <c r="EI58" s="155"/>
      <c r="EJ58" s="155"/>
      <c r="EK58" s="155"/>
      <c r="EL58" s="155"/>
      <c r="EM58" s="155"/>
      <c r="EN58" s="155"/>
      <c r="EO58" s="155"/>
      <c r="EP58" s="155"/>
      <c r="EQ58" s="155"/>
      <c r="ER58" s="155"/>
      <c r="ES58" s="155"/>
      <c r="ET58" s="155"/>
      <c r="EU58" s="155"/>
      <c r="EV58" s="155"/>
      <c r="EW58" s="155"/>
      <c r="EX58" s="155"/>
      <c r="EY58" s="155"/>
      <c r="EZ58" s="155"/>
      <c r="FA58" s="155"/>
      <c r="FB58" s="155"/>
      <c r="FC58" s="155"/>
      <c r="FD58" s="155"/>
      <c r="FE58" s="155"/>
      <c r="FF58" s="155"/>
      <c r="FG58" s="155"/>
      <c r="FH58" s="155"/>
      <c r="FI58" s="155"/>
      <c r="FJ58" s="155"/>
      <c r="FK58" s="155"/>
      <c r="FL58" s="155"/>
      <c r="FM58" s="155"/>
      <c r="FN58" s="155"/>
      <c r="FO58" s="155"/>
      <c r="FP58" s="155"/>
      <c r="FQ58" s="155"/>
      <c r="FR58" s="155"/>
      <c r="FS58" s="155"/>
      <c r="FT58" s="155"/>
      <c r="FU58" s="155"/>
      <c r="FV58" s="155"/>
      <c r="FW58" s="155"/>
      <c r="FX58" s="155"/>
      <c r="FY58" s="155"/>
      <c r="FZ58" s="155"/>
      <c r="GA58" s="155"/>
      <c r="GB58" s="155"/>
      <c r="GC58" s="155"/>
      <c r="GD58" s="155"/>
      <c r="GE58" s="155"/>
      <c r="GF58" s="155"/>
      <c r="GG58" s="155"/>
      <c r="GH58" s="155"/>
      <c r="GI58" s="155"/>
      <c r="GJ58" s="155"/>
      <c r="GK58" s="155"/>
      <c r="GL58" s="155"/>
      <c r="GM58" s="155"/>
      <c r="GN58" s="155"/>
      <c r="GO58" s="155"/>
      <c r="GP58" s="155"/>
      <c r="GQ58" s="155"/>
      <c r="GR58" s="155"/>
      <c r="GS58" s="155"/>
      <c r="GT58" s="155"/>
      <c r="GU58" s="155"/>
      <c r="GV58" s="155"/>
      <c r="GW58" s="155"/>
      <c r="GX58" s="155"/>
      <c r="GY58" s="155"/>
      <c r="GZ58" s="155"/>
      <c r="HA58" s="155"/>
      <c r="HB58" s="155"/>
      <c r="HC58" s="155"/>
      <c r="HD58" s="155"/>
      <c r="HE58" s="155"/>
      <c r="HF58" s="155"/>
      <c r="HG58" s="155"/>
      <c r="HH58" s="155"/>
      <c r="HI58" s="155"/>
      <c r="HJ58" s="155"/>
      <c r="HK58" s="155"/>
      <c r="HL58" s="155"/>
      <c r="HM58" s="155"/>
      <c r="HN58" s="155"/>
      <c r="HO58" s="155"/>
      <c r="HP58" s="155"/>
      <c r="HQ58" s="155"/>
      <c r="HR58" s="155"/>
      <c r="HS58" s="155"/>
      <c r="HT58" s="155"/>
      <c r="HU58" s="155"/>
      <c r="HV58" s="155"/>
      <c r="HW58" s="155"/>
      <c r="HX58" s="155"/>
      <c r="HY58" s="155"/>
      <c r="HZ58" s="155"/>
      <c r="IA58" s="155"/>
      <c r="IB58" s="155"/>
      <c r="IC58" s="155"/>
      <c r="ID58" s="155"/>
      <c r="IE58" s="155"/>
      <c r="IF58" s="155"/>
      <c r="IG58" s="155"/>
      <c r="IH58" s="155"/>
      <c r="II58" s="155"/>
      <c r="IJ58" s="155"/>
      <c r="IK58" s="155"/>
      <c r="IL58" s="155"/>
      <c r="IM58" s="155"/>
      <c r="IN58" s="155"/>
      <c r="IO58" s="155"/>
      <c r="IP58" s="155"/>
      <c r="IQ58" s="155"/>
      <c r="IR58" s="155"/>
      <c r="IS58" s="155"/>
      <c r="IT58" s="155"/>
      <c r="IU58" s="155"/>
      <c r="IV58" s="155"/>
    </row>
    <row r="59" spans="1:256" s="341" customFormat="1" ht="15" customHeight="1" thickTop="1">
      <c r="A59" s="353" t="s">
        <v>346</v>
      </c>
      <c r="B59" s="354">
        <v>1</v>
      </c>
      <c r="C59" s="353">
        <v>9810</v>
      </c>
      <c r="D59" s="340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  <c r="DT59" s="155"/>
      <c r="DU59" s="155"/>
      <c r="DV59" s="155"/>
      <c r="DW59" s="155"/>
      <c r="DX59" s="155"/>
      <c r="DY59" s="155"/>
      <c r="DZ59" s="155"/>
      <c r="EA59" s="155"/>
      <c r="EB59" s="155"/>
      <c r="EC59" s="155"/>
      <c r="ED59" s="155"/>
      <c r="EE59" s="155"/>
      <c r="EF59" s="155"/>
      <c r="EG59" s="155"/>
      <c r="EH59" s="155"/>
      <c r="EI59" s="155"/>
      <c r="EJ59" s="155"/>
      <c r="EK59" s="155"/>
      <c r="EL59" s="155"/>
      <c r="EM59" s="155"/>
      <c r="EN59" s="155"/>
      <c r="EO59" s="155"/>
      <c r="EP59" s="155"/>
      <c r="EQ59" s="155"/>
      <c r="ER59" s="155"/>
      <c r="ES59" s="155"/>
      <c r="ET59" s="155"/>
      <c r="EU59" s="155"/>
      <c r="EV59" s="155"/>
      <c r="EW59" s="155"/>
      <c r="EX59" s="155"/>
      <c r="EY59" s="155"/>
      <c r="EZ59" s="155"/>
      <c r="FA59" s="155"/>
      <c r="FB59" s="155"/>
      <c r="FC59" s="155"/>
      <c r="FD59" s="155"/>
      <c r="FE59" s="155"/>
      <c r="FF59" s="155"/>
      <c r="FG59" s="155"/>
      <c r="FH59" s="155"/>
      <c r="FI59" s="155"/>
      <c r="FJ59" s="155"/>
      <c r="FK59" s="155"/>
      <c r="FL59" s="155"/>
      <c r="FM59" s="155"/>
      <c r="FN59" s="155"/>
      <c r="FO59" s="155"/>
      <c r="FP59" s="155"/>
      <c r="FQ59" s="155"/>
      <c r="FR59" s="155"/>
      <c r="FS59" s="155"/>
      <c r="FT59" s="155"/>
      <c r="FU59" s="155"/>
      <c r="FV59" s="155"/>
      <c r="FW59" s="155"/>
      <c r="FX59" s="155"/>
      <c r="FY59" s="155"/>
      <c r="FZ59" s="155"/>
      <c r="GA59" s="155"/>
      <c r="GB59" s="155"/>
      <c r="GC59" s="155"/>
      <c r="GD59" s="155"/>
      <c r="GE59" s="155"/>
      <c r="GF59" s="155"/>
      <c r="GG59" s="155"/>
      <c r="GH59" s="155"/>
      <c r="GI59" s="155"/>
      <c r="GJ59" s="155"/>
      <c r="GK59" s="155"/>
      <c r="GL59" s="155"/>
      <c r="GM59" s="155"/>
      <c r="GN59" s="155"/>
      <c r="GO59" s="155"/>
      <c r="GP59" s="155"/>
      <c r="GQ59" s="155"/>
      <c r="GR59" s="155"/>
      <c r="GS59" s="155"/>
      <c r="GT59" s="155"/>
      <c r="GU59" s="155"/>
      <c r="GV59" s="155"/>
      <c r="GW59" s="155"/>
      <c r="GX59" s="155"/>
      <c r="GY59" s="155"/>
      <c r="GZ59" s="155"/>
      <c r="HA59" s="155"/>
      <c r="HB59" s="155"/>
      <c r="HC59" s="155"/>
      <c r="HD59" s="155"/>
      <c r="HE59" s="155"/>
      <c r="HF59" s="155"/>
      <c r="HG59" s="155"/>
      <c r="HH59" s="155"/>
      <c r="HI59" s="155"/>
      <c r="HJ59" s="155"/>
      <c r="HK59" s="155"/>
      <c r="HL59" s="155"/>
      <c r="HM59" s="155"/>
      <c r="HN59" s="155"/>
      <c r="HO59" s="155"/>
      <c r="HP59" s="155"/>
      <c r="HQ59" s="155"/>
      <c r="HR59" s="155"/>
      <c r="HS59" s="155"/>
      <c r="HT59" s="155"/>
      <c r="HU59" s="155"/>
      <c r="HV59" s="155"/>
      <c r="HW59" s="155"/>
      <c r="HX59" s="155"/>
      <c r="HY59" s="155"/>
      <c r="HZ59" s="155"/>
      <c r="IA59" s="155"/>
      <c r="IB59" s="155"/>
      <c r="IC59" s="155"/>
      <c r="ID59" s="155"/>
      <c r="IE59" s="155"/>
      <c r="IF59" s="155"/>
      <c r="IG59" s="155"/>
      <c r="IH59" s="155"/>
      <c r="II59" s="155"/>
      <c r="IJ59" s="155"/>
      <c r="IK59" s="155"/>
      <c r="IL59" s="155"/>
      <c r="IM59" s="155"/>
      <c r="IN59" s="155"/>
      <c r="IO59" s="155"/>
      <c r="IP59" s="155"/>
      <c r="IQ59" s="155"/>
      <c r="IR59" s="155"/>
      <c r="IS59" s="155"/>
      <c r="IT59" s="155"/>
      <c r="IU59" s="155"/>
      <c r="IV59" s="155"/>
    </row>
    <row r="60" spans="1:256" s="341" customFormat="1" ht="15" customHeight="1">
      <c r="A60" s="345" t="s">
        <v>347</v>
      </c>
      <c r="B60" s="346">
        <v>0.215</v>
      </c>
      <c r="C60" s="345">
        <v>26980</v>
      </c>
      <c r="D60" s="340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  <c r="DT60" s="155"/>
      <c r="DU60" s="155"/>
      <c r="DV60" s="155"/>
      <c r="DW60" s="155"/>
      <c r="DX60" s="155"/>
      <c r="DY60" s="155"/>
      <c r="DZ60" s="155"/>
      <c r="EA60" s="155"/>
      <c r="EB60" s="155"/>
      <c r="EC60" s="155"/>
      <c r="ED60" s="155"/>
      <c r="EE60" s="155"/>
      <c r="EF60" s="155"/>
      <c r="EG60" s="155"/>
      <c r="EH60" s="155"/>
      <c r="EI60" s="155"/>
      <c r="EJ60" s="155"/>
      <c r="EK60" s="155"/>
      <c r="EL60" s="155"/>
      <c r="EM60" s="155"/>
      <c r="EN60" s="155"/>
      <c r="EO60" s="155"/>
      <c r="EP60" s="155"/>
      <c r="EQ60" s="155"/>
      <c r="ER60" s="155"/>
      <c r="ES60" s="155"/>
      <c r="ET60" s="155"/>
      <c r="EU60" s="155"/>
      <c r="EV60" s="155"/>
      <c r="EW60" s="155"/>
      <c r="EX60" s="155"/>
      <c r="EY60" s="155"/>
      <c r="EZ60" s="155"/>
      <c r="FA60" s="155"/>
      <c r="FB60" s="155"/>
      <c r="FC60" s="155"/>
      <c r="FD60" s="155"/>
      <c r="FE60" s="155"/>
      <c r="FF60" s="155"/>
      <c r="FG60" s="155"/>
      <c r="FH60" s="155"/>
      <c r="FI60" s="155"/>
      <c r="FJ60" s="155"/>
      <c r="FK60" s="155"/>
      <c r="FL60" s="155"/>
      <c r="FM60" s="155"/>
      <c r="FN60" s="155"/>
      <c r="FO60" s="155"/>
      <c r="FP60" s="155"/>
      <c r="FQ60" s="155"/>
      <c r="FR60" s="155"/>
      <c r="FS60" s="155"/>
      <c r="FT60" s="155"/>
      <c r="FU60" s="155"/>
      <c r="FV60" s="155"/>
      <c r="FW60" s="155"/>
      <c r="FX60" s="155"/>
      <c r="FY60" s="155"/>
      <c r="FZ60" s="155"/>
      <c r="GA60" s="155"/>
      <c r="GB60" s="155"/>
      <c r="GC60" s="155"/>
      <c r="GD60" s="155"/>
      <c r="GE60" s="155"/>
      <c r="GF60" s="155"/>
      <c r="GG60" s="155"/>
      <c r="GH60" s="155"/>
      <c r="GI60" s="155"/>
      <c r="GJ60" s="155"/>
      <c r="GK60" s="155"/>
      <c r="GL60" s="155"/>
      <c r="GM60" s="155"/>
      <c r="GN60" s="155"/>
      <c r="GO60" s="155"/>
      <c r="GP60" s="155"/>
      <c r="GQ60" s="155"/>
      <c r="GR60" s="155"/>
      <c r="GS60" s="155"/>
      <c r="GT60" s="155"/>
      <c r="GU60" s="155"/>
      <c r="GV60" s="155"/>
      <c r="GW60" s="155"/>
      <c r="GX60" s="155"/>
      <c r="GY60" s="155"/>
      <c r="GZ60" s="155"/>
      <c r="HA60" s="155"/>
      <c r="HB60" s="155"/>
      <c r="HC60" s="155"/>
      <c r="HD60" s="155"/>
      <c r="HE60" s="155"/>
      <c r="HF60" s="155"/>
      <c r="HG60" s="155"/>
      <c r="HH60" s="155"/>
      <c r="HI60" s="155"/>
      <c r="HJ60" s="155"/>
      <c r="HK60" s="155"/>
      <c r="HL60" s="155"/>
      <c r="HM60" s="155"/>
      <c r="HN60" s="155"/>
      <c r="HO60" s="155"/>
      <c r="HP60" s="155"/>
      <c r="HQ60" s="155"/>
      <c r="HR60" s="155"/>
      <c r="HS60" s="155"/>
      <c r="HT60" s="155"/>
      <c r="HU60" s="155"/>
      <c r="HV60" s="155"/>
      <c r="HW60" s="155"/>
      <c r="HX60" s="155"/>
      <c r="HY60" s="155"/>
      <c r="HZ60" s="155"/>
      <c r="IA60" s="155"/>
      <c r="IB60" s="155"/>
      <c r="IC60" s="155"/>
      <c r="ID60" s="155"/>
      <c r="IE60" s="155"/>
      <c r="IF60" s="155"/>
      <c r="IG60" s="155"/>
      <c r="IH60" s="155"/>
      <c r="II60" s="155"/>
      <c r="IJ60" s="155"/>
      <c r="IK60" s="155"/>
      <c r="IL60" s="155"/>
      <c r="IM60" s="155"/>
      <c r="IN60" s="155"/>
      <c r="IO60" s="155"/>
      <c r="IP60" s="155"/>
      <c r="IQ60" s="155"/>
      <c r="IR60" s="155"/>
      <c r="IS60" s="155"/>
      <c r="IT60" s="155"/>
      <c r="IU60" s="155"/>
      <c r="IV60" s="155"/>
    </row>
    <row r="61" spans="1:256" s="341" customFormat="1" ht="15" customHeight="1">
      <c r="A61" s="345" t="s">
        <v>348</v>
      </c>
      <c r="B61" s="346">
        <v>0.24</v>
      </c>
      <c r="C61" s="345">
        <v>12.68</v>
      </c>
      <c r="D61" s="340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  <c r="DT61" s="155"/>
      <c r="DU61" s="155"/>
      <c r="DV61" s="155"/>
      <c r="DW61" s="155"/>
      <c r="DX61" s="155"/>
      <c r="DY61" s="155"/>
      <c r="DZ61" s="155"/>
      <c r="EA61" s="155"/>
      <c r="EB61" s="155"/>
      <c r="EC61" s="155"/>
      <c r="ED61" s="155"/>
      <c r="EE61" s="155"/>
      <c r="EF61" s="155"/>
      <c r="EG61" s="155"/>
      <c r="EH61" s="155"/>
      <c r="EI61" s="155"/>
      <c r="EJ61" s="155"/>
      <c r="EK61" s="155"/>
      <c r="EL61" s="155"/>
      <c r="EM61" s="155"/>
      <c r="EN61" s="155"/>
      <c r="EO61" s="155"/>
      <c r="EP61" s="155"/>
      <c r="EQ61" s="155"/>
      <c r="ER61" s="155"/>
      <c r="ES61" s="155"/>
      <c r="ET61" s="155"/>
      <c r="EU61" s="155"/>
      <c r="EV61" s="155"/>
      <c r="EW61" s="155"/>
      <c r="EX61" s="155"/>
      <c r="EY61" s="155"/>
      <c r="EZ61" s="155"/>
      <c r="FA61" s="155"/>
      <c r="FB61" s="155"/>
      <c r="FC61" s="155"/>
      <c r="FD61" s="155"/>
      <c r="FE61" s="155"/>
      <c r="FF61" s="155"/>
      <c r="FG61" s="155"/>
      <c r="FH61" s="155"/>
      <c r="FI61" s="155"/>
      <c r="FJ61" s="155"/>
      <c r="FK61" s="155"/>
      <c r="FL61" s="155"/>
      <c r="FM61" s="155"/>
      <c r="FN61" s="155"/>
      <c r="FO61" s="155"/>
      <c r="FP61" s="155"/>
      <c r="FQ61" s="155"/>
      <c r="FR61" s="155"/>
      <c r="FS61" s="155"/>
      <c r="FT61" s="155"/>
      <c r="FU61" s="155"/>
      <c r="FV61" s="155"/>
      <c r="FW61" s="155"/>
      <c r="FX61" s="155"/>
      <c r="FY61" s="155"/>
      <c r="FZ61" s="155"/>
      <c r="GA61" s="155"/>
      <c r="GB61" s="155"/>
      <c r="GC61" s="155"/>
      <c r="GD61" s="155"/>
      <c r="GE61" s="155"/>
      <c r="GF61" s="155"/>
      <c r="GG61" s="155"/>
      <c r="GH61" s="155"/>
      <c r="GI61" s="155"/>
      <c r="GJ61" s="155"/>
      <c r="GK61" s="155"/>
      <c r="GL61" s="155"/>
      <c r="GM61" s="155"/>
      <c r="GN61" s="155"/>
      <c r="GO61" s="155"/>
      <c r="GP61" s="155"/>
      <c r="GQ61" s="155"/>
      <c r="GR61" s="155"/>
      <c r="GS61" s="155"/>
      <c r="GT61" s="155"/>
      <c r="GU61" s="155"/>
      <c r="GV61" s="155"/>
      <c r="GW61" s="155"/>
      <c r="GX61" s="155"/>
      <c r="GY61" s="155"/>
      <c r="GZ61" s="155"/>
      <c r="HA61" s="155"/>
      <c r="HB61" s="155"/>
      <c r="HC61" s="155"/>
      <c r="HD61" s="155"/>
      <c r="HE61" s="155"/>
      <c r="HF61" s="155"/>
      <c r="HG61" s="155"/>
      <c r="HH61" s="155"/>
      <c r="HI61" s="155"/>
      <c r="HJ61" s="155"/>
      <c r="HK61" s="155"/>
      <c r="HL61" s="155"/>
      <c r="HM61" s="155"/>
      <c r="HN61" s="155"/>
      <c r="HO61" s="155"/>
      <c r="HP61" s="155"/>
      <c r="HQ61" s="155"/>
      <c r="HR61" s="155"/>
      <c r="HS61" s="155"/>
      <c r="HT61" s="155"/>
      <c r="HU61" s="155"/>
      <c r="HV61" s="155"/>
      <c r="HW61" s="155"/>
      <c r="HX61" s="155"/>
      <c r="HY61" s="155"/>
      <c r="HZ61" s="155"/>
      <c r="IA61" s="155"/>
      <c r="IB61" s="155"/>
      <c r="IC61" s="155"/>
      <c r="ID61" s="155"/>
      <c r="IE61" s="155"/>
      <c r="IF61" s="155"/>
      <c r="IG61" s="155"/>
      <c r="IH61" s="155"/>
      <c r="II61" s="155"/>
      <c r="IJ61" s="155"/>
      <c r="IK61" s="155"/>
      <c r="IL61" s="155"/>
      <c r="IM61" s="155"/>
      <c r="IN61" s="155"/>
      <c r="IO61" s="155"/>
      <c r="IP61" s="155"/>
      <c r="IQ61" s="155"/>
      <c r="IR61" s="155"/>
      <c r="IS61" s="155"/>
      <c r="IT61" s="155"/>
      <c r="IU61" s="155"/>
      <c r="IV61" s="155"/>
    </row>
    <row r="62" spans="1:256" s="341" customFormat="1" ht="15" customHeight="1">
      <c r="A62" s="345" t="s">
        <v>181</v>
      </c>
      <c r="B62" s="346">
        <v>9.1999999999999998E-2</v>
      </c>
      <c r="C62" s="345">
        <v>87800</v>
      </c>
      <c r="D62" s="340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  <c r="DT62" s="155"/>
      <c r="DU62" s="155"/>
      <c r="DV62" s="155"/>
      <c r="DW62" s="155"/>
      <c r="DX62" s="155"/>
      <c r="DY62" s="155"/>
      <c r="DZ62" s="155"/>
      <c r="EA62" s="155"/>
      <c r="EB62" s="155"/>
      <c r="EC62" s="155"/>
      <c r="ED62" s="155"/>
      <c r="EE62" s="155"/>
      <c r="EF62" s="155"/>
      <c r="EG62" s="155"/>
      <c r="EH62" s="155"/>
      <c r="EI62" s="155"/>
      <c r="EJ62" s="155"/>
      <c r="EK62" s="155"/>
      <c r="EL62" s="155"/>
      <c r="EM62" s="155"/>
      <c r="EN62" s="155"/>
      <c r="EO62" s="155"/>
      <c r="EP62" s="155"/>
      <c r="EQ62" s="155"/>
      <c r="ER62" s="155"/>
      <c r="ES62" s="155"/>
      <c r="ET62" s="155"/>
      <c r="EU62" s="155"/>
      <c r="EV62" s="155"/>
      <c r="EW62" s="155"/>
      <c r="EX62" s="155"/>
      <c r="EY62" s="155"/>
      <c r="EZ62" s="155"/>
      <c r="FA62" s="155"/>
      <c r="FB62" s="155"/>
      <c r="FC62" s="155"/>
      <c r="FD62" s="155"/>
      <c r="FE62" s="155"/>
      <c r="FF62" s="155"/>
      <c r="FG62" s="155"/>
      <c r="FH62" s="155"/>
      <c r="FI62" s="155"/>
      <c r="FJ62" s="155"/>
      <c r="FK62" s="155"/>
      <c r="FL62" s="155"/>
      <c r="FM62" s="155"/>
      <c r="FN62" s="155"/>
      <c r="FO62" s="155"/>
      <c r="FP62" s="155"/>
      <c r="FQ62" s="155"/>
      <c r="FR62" s="155"/>
      <c r="FS62" s="155"/>
      <c r="FT62" s="155"/>
      <c r="FU62" s="155"/>
      <c r="FV62" s="155"/>
      <c r="FW62" s="155"/>
      <c r="FX62" s="155"/>
      <c r="FY62" s="155"/>
      <c r="FZ62" s="155"/>
      <c r="GA62" s="155"/>
      <c r="GB62" s="155"/>
      <c r="GC62" s="155"/>
      <c r="GD62" s="155"/>
      <c r="GE62" s="155"/>
      <c r="GF62" s="155"/>
      <c r="GG62" s="155"/>
      <c r="GH62" s="155"/>
      <c r="GI62" s="155"/>
      <c r="GJ62" s="155"/>
      <c r="GK62" s="155"/>
      <c r="GL62" s="155"/>
      <c r="GM62" s="155"/>
      <c r="GN62" s="155"/>
      <c r="GO62" s="155"/>
      <c r="GP62" s="155"/>
      <c r="GQ62" s="155"/>
      <c r="GR62" s="155"/>
      <c r="GS62" s="155"/>
      <c r="GT62" s="155"/>
      <c r="GU62" s="155"/>
      <c r="GV62" s="155"/>
      <c r="GW62" s="155"/>
      <c r="GX62" s="155"/>
      <c r="GY62" s="155"/>
      <c r="GZ62" s="155"/>
      <c r="HA62" s="155"/>
      <c r="HB62" s="155"/>
      <c r="HC62" s="155"/>
      <c r="HD62" s="155"/>
      <c r="HE62" s="155"/>
      <c r="HF62" s="155"/>
      <c r="HG62" s="155"/>
      <c r="HH62" s="155"/>
      <c r="HI62" s="155"/>
      <c r="HJ62" s="155"/>
      <c r="HK62" s="155"/>
      <c r="HL62" s="155"/>
      <c r="HM62" s="155"/>
      <c r="HN62" s="155"/>
      <c r="HO62" s="155"/>
      <c r="HP62" s="155"/>
      <c r="HQ62" s="155"/>
      <c r="HR62" s="155"/>
      <c r="HS62" s="155"/>
      <c r="HT62" s="155"/>
      <c r="HU62" s="155"/>
      <c r="HV62" s="155"/>
      <c r="HW62" s="155"/>
      <c r="HX62" s="155"/>
      <c r="HY62" s="155"/>
      <c r="HZ62" s="155"/>
      <c r="IA62" s="155"/>
      <c r="IB62" s="155"/>
      <c r="IC62" s="155"/>
      <c r="ID62" s="155"/>
      <c r="IE62" s="155"/>
      <c r="IF62" s="155"/>
      <c r="IG62" s="155"/>
      <c r="IH62" s="155"/>
      <c r="II62" s="155"/>
      <c r="IJ62" s="155"/>
      <c r="IK62" s="155"/>
      <c r="IL62" s="155"/>
      <c r="IM62" s="155"/>
      <c r="IN62" s="155"/>
      <c r="IO62" s="155"/>
      <c r="IP62" s="155"/>
      <c r="IQ62" s="155"/>
      <c r="IR62" s="155"/>
      <c r="IS62" s="155"/>
      <c r="IT62" s="155"/>
      <c r="IU62" s="155"/>
      <c r="IV62" s="155"/>
    </row>
    <row r="63" spans="1:256" s="341" customFormat="1" ht="15" customHeight="1">
      <c r="A63" s="345" t="s">
        <v>349</v>
      </c>
      <c r="B63" s="346">
        <v>0.111</v>
      </c>
      <c r="C63" s="345">
        <v>77110</v>
      </c>
      <c r="D63" s="340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  <c r="DT63" s="155"/>
      <c r="DU63" s="155"/>
      <c r="DV63" s="155"/>
      <c r="DW63" s="155"/>
      <c r="DX63" s="155"/>
      <c r="DY63" s="155"/>
      <c r="DZ63" s="155"/>
      <c r="EA63" s="155"/>
      <c r="EB63" s="155"/>
      <c r="EC63" s="155"/>
      <c r="ED63" s="155"/>
      <c r="EE63" s="155"/>
      <c r="EF63" s="155"/>
      <c r="EG63" s="155"/>
      <c r="EH63" s="155"/>
      <c r="EI63" s="155"/>
      <c r="EJ63" s="155"/>
      <c r="EK63" s="155"/>
      <c r="EL63" s="155"/>
      <c r="EM63" s="155"/>
      <c r="EN63" s="155"/>
      <c r="EO63" s="155"/>
      <c r="EP63" s="155"/>
      <c r="EQ63" s="155"/>
      <c r="ER63" s="155"/>
      <c r="ES63" s="155"/>
      <c r="ET63" s="155"/>
      <c r="EU63" s="155"/>
      <c r="EV63" s="155"/>
      <c r="EW63" s="155"/>
      <c r="EX63" s="155"/>
      <c r="EY63" s="155"/>
      <c r="EZ63" s="155"/>
      <c r="FA63" s="155"/>
      <c r="FB63" s="155"/>
      <c r="FC63" s="155"/>
      <c r="FD63" s="155"/>
      <c r="FE63" s="155"/>
      <c r="FF63" s="155"/>
      <c r="FG63" s="155"/>
      <c r="FH63" s="155"/>
      <c r="FI63" s="155"/>
      <c r="FJ63" s="155"/>
      <c r="FK63" s="155"/>
      <c r="FL63" s="155"/>
      <c r="FM63" s="155"/>
      <c r="FN63" s="155"/>
      <c r="FO63" s="155"/>
      <c r="FP63" s="155"/>
      <c r="FQ63" s="155"/>
      <c r="FR63" s="155"/>
      <c r="FS63" s="155"/>
      <c r="FT63" s="155"/>
      <c r="FU63" s="155"/>
      <c r="FV63" s="155"/>
      <c r="FW63" s="155"/>
      <c r="FX63" s="155"/>
      <c r="FY63" s="155"/>
      <c r="FZ63" s="155"/>
      <c r="GA63" s="155"/>
      <c r="GB63" s="155"/>
      <c r="GC63" s="155"/>
      <c r="GD63" s="155"/>
      <c r="GE63" s="155"/>
      <c r="GF63" s="155"/>
      <c r="GG63" s="155"/>
      <c r="GH63" s="155"/>
      <c r="GI63" s="155"/>
      <c r="GJ63" s="155"/>
      <c r="GK63" s="155"/>
      <c r="GL63" s="155"/>
      <c r="GM63" s="155"/>
      <c r="GN63" s="155"/>
      <c r="GO63" s="155"/>
      <c r="GP63" s="155"/>
      <c r="GQ63" s="155"/>
      <c r="GR63" s="155"/>
      <c r="GS63" s="155"/>
      <c r="GT63" s="155"/>
      <c r="GU63" s="155"/>
      <c r="GV63" s="155"/>
      <c r="GW63" s="155"/>
      <c r="GX63" s="155"/>
      <c r="GY63" s="155"/>
      <c r="GZ63" s="155"/>
      <c r="HA63" s="155"/>
      <c r="HB63" s="155"/>
      <c r="HC63" s="155"/>
      <c r="HD63" s="155"/>
      <c r="HE63" s="155"/>
      <c r="HF63" s="155"/>
      <c r="HG63" s="155"/>
      <c r="HH63" s="155"/>
      <c r="HI63" s="155"/>
      <c r="HJ63" s="155"/>
      <c r="HK63" s="155"/>
      <c r="HL63" s="155"/>
      <c r="HM63" s="155"/>
      <c r="HN63" s="155"/>
      <c r="HO63" s="155"/>
      <c r="HP63" s="155"/>
      <c r="HQ63" s="155"/>
      <c r="HR63" s="155"/>
      <c r="HS63" s="155"/>
      <c r="HT63" s="155"/>
      <c r="HU63" s="155"/>
      <c r="HV63" s="155"/>
      <c r="HW63" s="155"/>
      <c r="HX63" s="155"/>
      <c r="HY63" s="155"/>
      <c r="HZ63" s="155"/>
      <c r="IA63" s="155"/>
      <c r="IB63" s="155"/>
      <c r="IC63" s="155"/>
      <c r="ID63" s="155"/>
      <c r="IE63" s="155"/>
      <c r="IF63" s="155"/>
      <c r="IG63" s="155"/>
      <c r="IH63" s="155"/>
      <c r="II63" s="155"/>
      <c r="IJ63" s="155"/>
      <c r="IK63" s="155"/>
      <c r="IL63" s="155"/>
      <c r="IM63" s="155"/>
      <c r="IN63" s="155"/>
      <c r="IO63" s="155"/>
      <c r="IP63" s="155"/>
      <c r="IQ63" s="155"/>
      <c r="IR63" s="155"/>
      <c r="IS63" s="155"/>
      <c r="IT63" s="155"/>
      <c r="IU63" s="155"/>
      <c r="IV63" s="155"/>
    </row>
    <row r="64" spans="1:256" s="341" customFormat="1" ht="15" customHeight="1">
      <c r="A64" s="339"/>
      <c r="B64" s="339"/>
      <c r="C64" s="339"/>
      <c r="D64" s="340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  <c r="DT64" s="155"/>
      <c r="DU64" s="155"/>
      <c r="DV64" s="155"/>
      <c r="DW64" s="155"/>
      <c r="DX64" s="155"/>
      <c r="DY64" s="155"/>
      <c r="DZ64" s="155"/>
      <c r="EA64" s="155"/>
      <c r="EB64" s="155"/>
      <c r="EC64" s="155"/>
      <c r="ED64" s="155"/>
      <c r="EE64" s="155"/>
      <c r="EF64" s="155"/>
      <c r="EG64" s="155"/>
      <c r="EH64" s="155"/>
      <c r="EI64" s="155"/>
      <c r="EJ64" s="155"/>
      <c r="EK64" s="155"/>
      <c r="EL64" s="155"/>
      <c r="EM64" s="155"/>
      <c r="EN64" s="155"/>
      <c r="EO64" s="155"/>
      <c r="EP64" s="155"/>
      <c r="EQ64" s="155"/>
      <c r="ER64" s="155"/>
      <c r="ES64" s="155"/>
      <c r="ET64" s="155"/>
      <c r="EU64" s="155"/>
      <c r="EV64" s="155"/>
      <c r="EW64" s="155"/>
      <c r="EX64" s="155"/>
      <c r="EY64" s="155"/>
      <c r="EZ64" s="155"/>
      <c r="FA64" s="155"/>
      <c r="FB64" s="155"/>
      <c r="FC64" s="155"/>
      <c r="FD64" s="155"/>
      <c r="FE64" s="155"/>
      <c r="FF64" s="155"/>
      <c r="FG64" s="155"/>
      <c r="FH64" s="155"/>
      <c r="FI64" s="155"/>
      <c r="FJ64" s="155"/>
      <c r="FK64" s="155"/>
      <c r="FL64" s="155"/>
      <c r="FM64" s="155"/>
      <c r="FN64" s="155"/>
      <c r="FO64" s="155"/>
      <c r="FP64" s="155"/>
      <c r="FQ64" s="155"/>
      <c r="FR64" s="155"/>
      <c r="FS64" s="155"/>
      <c r="FT64" s="155"/>
      <c r="FU64" s="155"/>
      <c r="FV64" s="155"/>
      <c r="FW64" s="155"/>
      <c r="FX64" s="155"/>
      <c r="FY64" s="155"/>
      <c r="FZ64" s="155"/>
      <c r="GA64" s="155"/>
      <c r="GB64" s="155"/>
      <c r="GC64" s="155"/>
      <c r="GD64" s="155"/>
      <c r="GE64" s="155"/>
      <c r="GF64" s="155"/>
      <c r="GG64" s="155"/>
      <c r="GH64" s="155"/>
      <c r="GI64" s="155"/>
      <c r="GJ64" s="155"/>
      <c r="GK64" s="155"/>
      <c r="GL64" s="155"/>
      <c r="GM64" s="155"/>
      <c r="GN64" s="155"/>
      <c r="GO64" s="155"/>
      <c r="GP64" s="155"/>
      <c r="GQ64" s="155"/>
      <c r="GR64" s="155"/>
      <c r="GS64" s="155"/>
      <c r="GT64" s="155"/>
      <c r="GU64" s="155"/>
      <c r="GV64" s="155"/>
      <c r="GW64" s="155"/>
      <c r="GX64" s="155"/>
      <c r="GY64" s="155"/>
      <c r="GZ64" s="155"/>
      <c r="HA64" s="155"/>
      <c r="HB64" s="155"/>
      <c r="HC64" s="155"/>
      <c r="HD64" s="155"/>
      <c r="HE64" s="155"/>
      <c r="HF64" s="155"/>
      <c r="HG64" s="155"/>
      <c r="HH64" s="155"/>
      <c r="HI64" s="155"/>
      <c r="HJ64" s="155"/>
      <c r="HK64" s="155"/>
      <c r="HL64" s="155"/>
      <c r="HM64" s="155"/>
      <c r="HN64" s="155"/>
      <c r="HO64" s="155"/>
      <c r="HP64" s="155"/>
      <c r="HQ64" s="155"/>
      <c r="HR64" s="155"/>
      <c r="HS64" s="155"/>
      <c r="HT64" s="155"/>
      <c r="HU64" s="155"/>
      <c r="HV64" s="155"/>
      <c r="HW64" s="155"/>
      <c r="HX64" s="155"/>
      <c r="HY64" s="155"/>
      <c r="HZ64" s="155"/>
      <c r="IA64" s="155"/>
      <c r="IB64" s="155"/>
      <c r="IC64" s="155"/>
      <c r="ID64" s="155"/>
      <c r="IE64" s="155"/>
      <c r="IF64" s="155"/>
      <c r="IG64" s="155"/>
      <c r="IH64" s="155"/>
      <c r="II64" s="155"/>
      <c r="IJ64" s="155"/>
      <c r="IK64" s="155"/>
      <c r="IL64" s="155"/>
      <c r="IM64" s="155"/>
      <c r="IN64" s="155"/>
      <c r="IO64" s="155"/>
      <c r="IP64" s="155"/>
      <c r="IQ64" s="155"/>
      <c r="IR64" s="155"/>
      <c r="IS64" s="155"/>
      <c r="IT64" s="155"/>
      <c r="IU64" s="155"/>
      <c r="IV64" s="155"/>
    </row>
    <row r="65" spans="1:256" ht="15" customHeight="1">
      <c r="A65" s="237" t="s">
        <v>237</v>
      </c>
      <c r="B65" s="227"/>
      <c r="C65" s="227"/>
      <c r="D65" s="151"/>
      <c r="E65" s="151"/>
      <c r="F65" s="228"/>
      <c r="G65" s="59" t="s">
        <v>257</v>
      </c>
      <c r="H65" s="83"/>
      <c r="I65" s="83"/>
      <c r="J65" s="83"/>
      <c r="K65" s="83"/>
      <c r="L65" s="83"/>
      <c r="M65" s="83"/>
      <c r="N65" s="83"/>
      <c r="O65" s="83"/>
    </row>
    <row r="66" spans="1:256" ht="15" customHeight="1">
      <c r="A66" s="72" t="s">
        <v>79</v>
      </c>
      <c r="B66" s="73" t="s">
        <v>53</v>
      </c>
      <c r="C66" s="49" t="s">
        <v>137</v>
      </c>
      <c r="D66" s="73" t="s">
        <v>16</v>
      </c>
      <c r="E66" s="49" t="s">
        <v>239</v>
      </c>
      <c r="F66" s="49" t="s">
        <v>105</v>
      </c>
      <c r="G66" s="181" t="s">
        <v>242</v>
      </c>
      <c r="H66" s="83"/>
      <c r="I66" s="83"/>
      <c r="J66" s="83"/>
      <c r="K66" s="83"/>
      <c r="L66" s="83"/>
      <c r="M66" s="83"/>
      <c r="N66" s="83"/>
      <c r="O66" s="83"/>
    </row>
    <row r="67" spans="1:256" ht="15" customHeight="1">
      <c r="A67" s="238" t="s">
        <v>238</v>
      </c>
      <c r="B67" s="74" t="s">
        <v>41</v>
      </c>
      <c r="C67" s="52" t="s">
        <v>241</v>
      </c>
      <c r="D67" s="74"/>
      <c r="E67" s="52" t="s">
        <v>240</v>
      </c>
      <c r="F67" s="52"/>
      <c r="G67" s="181" t="s">
        <v>243</v>
      </c>
      <c r="H67" s="83"/>
      <c r="I67" s="83"/>
      <c r="J67" s="83"/>
      <c r="K67" s="83"/>
      <c r="L67" s="83"/>
      <c r="M67" s="83"/>
      <c r="N67" s="83"/>
      <c r="O67" s="83"/>
    </row>
    <row r="68" spans="1:256" ht="15" customHeight="1" thickBot="1">
      <c r="A68" s="342" t="s">
        <v>42</v>
      </c>
      <c r="B68" s="146"/>
      <c r="C68" s="49" t="s">
        <v>39</v>
      </c>
      <c r="D68" s="49" t="s">
        <v>40</v>
      </c>
      <c r="E68" s="49" t="s">
        <v>28</v>
      </c>
      <c r="F68" s="73" t="s">
        <v>40</v>
      </c>
      <c r="G68" s="159" t="s">
        <v>244</v>
      </c>
      <c r="H68" s="83"/>
      <c r="I68" s="83"/>
      <c r="J68" s="83"/>
      <c r="K68" s="83"/>
      <c r="L68" s="83"/>
      <c r="M68" s="83"/>
      <c r="N68" s="83"/>
      <c r="O68" s="83"/>
    </row>
    <row r="69" spans="1:256" ht="15" customHeight="1" thickTop="1" thickBot="1">
      <c r="A69" s="8">
        <v>510</v>
      </c>
      <c r="B69" s="5">
        <v>1</v>
      </c>
      <c r="C69" s="25">
        <f>+A69/B69</f>
        <v>510</v>
      </c>
      <c r="D69" s="3">
        <v>50</v>
      </c>
      <c r="E69" s="3">
        <v>1700</v>
      </c>
      <c r="F69" s="7">
        <f>+C69/(+D69*D69)*(4/0.0031415)</f>
        <v>259.74852777335667</v>
      </c>
      <c r="G69" s="239">
        <f>+ROUND(C69*E69/1000,0)</f>
        <v>867</v>
      </c>
      <c r="H69" s="83"/>
      <c r="I69" s="83"/>
      <c r="J69" s="83"/>
      <c r="K69" s="83"/>
      <c r="L69" s="83"/>
      <c r="M69" s="83"/>
      <c r="N69" s="83"/>
      <c r="O69" s="83"/>
    </row>
    <row r="70" spans="1:256" ht="15" customHeight="1" thickTop="1" thickBot="1">
      <c r="A70" s="7">
        <f>+C70*B70</f>
        <v>510</v>
      </c>
      <c r="B70" s="5">
        <v>1</v>
      </c>
      <c r="C70" s="8">
        <v>510</v>
      </c>
      <c r="D70" s="3">
        <v>50</v>
      </c>
      <c r="E70" s="3">
        <v>1700</v>
      </c>
      <c r="F70" s="7">
        <f>+C70/(+D70*D70)*(4/0.0031415)</f>
        <v>259.74852777335667</v>
      </c>
      <c r="G70" s="239">
        <f>+ROUND(C70*E70/1000,0)</f>
        <v>867</v>
      </c>
      <c r="H70" s="83"/>
      <c r="I70" s="83"/>
      <c r="J70" s="83"/>
      <c r="K70" s="83"/>
      <c r="L70" s="83"/>
      <c r="M70" s="83"/>
      <c r="N70" s="83"/>
      <c r="O70" s="83"/>
    </row>
    <row r="71" spans="1:256" ht="15" customHeight="1" thickTop="1" thickBot="1">
      <c r="A71" s="7">
        <f>+C71*B71</f>
        <v>510.49375000000009</v>
      </c>
      <c r="B71" s="5">
        <v>1</v>
      </c>
      <c r="C71" s="25">
        <f>+(3.1415*(D71/20)^2)*F71/10</f>
        <v>510.49375000000009</v>
      </c>
      <c r="D71" s="3">
        <v>50</v>
      </c>
      <c r="E71" s="3">
        <v>1700</v>
      </c>
      <c r="F71" s="8">
        <v>260</v>
      </c>
      <c r="G71" s="239">
        <f>+ROUND(C71*E71/1000,0)</f>
        <v>868</v>
      </c>
      <c r="H71" s="83"/>
      <c r="I71" s="83"/>
      <c r="J71" s="83"/>
      <c r="K71" s="83"/>
      <c r="L71" s="83"/>
      <c r="M71" s="83"/>
      <c r="N71" s="83"/>
      <c r="O71" s="83"/>
    </row>
    <row r="72" spans="1:256" s="156" customFormat="1" ht="15" customHeight="1" thickTop="1">
      <c r="A72" s="97"/>
      <c r="B72" s="98"/>
      <c r="C72" s="99"/>
      <c r="D72" s="86"/>
      <c r="E72" s="86"/>
      <c r="F72" s="86"/>
      <c r="G72" s="100"/>
      <c r="H72" s="96"/>
      <c r="I72" s="96"/>
      <c r="J72" s="96"/>
      <c r="K72" s="96"/>
      <c r="L72" s="96"/>
      <c r="M72" s="96"/>
      <c r="N72" s="96"/>
      <c r="O72" s="96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  <c r="DT72" s="155"/>
      <c r="DU72" s="155"/>
      <c r="DV72" s="155"/>
      <c r="DW72" s="155"/>
      <c r="DX72" s="155"/>
      <c r="DY72" s="155"/>
      <c r="DZ72" s="155"/>
      <c r="EA72" s="155"/>
      <c r="EB72" s="155"/>
      <c r="EC72" s="155"/>
      <c r="ED72" s="155"/>
      <c r="EE72" s="155"/>
      <c r="EF72" s="155"/>
      <c r="EG72" s="155"/>
      <c r="EH72" s="155"/>
      <c r="EI72" s="155"/>
      <c r="EJ72" s="155"/>
      <c r="EK72" s="155"/>
      <c r="EL72" s="155"/>
      <c r="EM72" s="155"/>
      <c r="EN72" s="155"/>
      <c r="EO72" s="155"/>
      <c r="EP72" s="155"/>
      <c r="EQ72" s="155"/>
      <c r="ER72" s="155"/>
      <c r="ES72" s="155"/>
      <c r="ET72" s="155"/>
      <c r="EU72" s="155"/>
      <c r="EV72" s="155"/>
      <c r="EW72" s="155"/>
      <c r="EX72" s="155"/>
      <c r="EY72" s="155"/>
      <c r="EZ72" s="155"/>
      <c r="FA72" s="155"/>
      <c r="FB72" s="155"/>
      <c r="FC72" s="155"/>
      <c r="FD72" s="155"/>
      <c r="FE72" s="155"/>
      <c r="FF72" s="155"/>
      <c r="FG72" s="155"/>
      <c r="FH72" s="155"/>
      <c r="FI72" s="155"/>
      <c r="FJ72" s="155"/>
      <c r="FK72" s="155"/>
      <c r="FL72" s="155"/>
      <c r="FM72" s="155"/>
      <c r="FN72" s="155"/>
      <c r="FO72" s="155"/>
      <c r="FP72" s="155"/>
      <c r="FQ72" s="155"/>
      <c r="FR72" s="155"/>
      <c r="FS72" s="155"/>
      <c r="FT72" s="155"/>
      <c r="FU72" s="155"/>
      <c r="FV72" s="155"/>
      <c r="FW72" s="155"/>
      <c r="FX72" s="155"/>
      <c r="FY72" s="155"/>
      <c r="FZ72" s="155"/>
      <c r="GA72" s="155"/>
      <c r="GB72" s="155"/>
      <c r="GC72" s="155"/>
      <c r="GD72" s="155"/>
      <c r="GE72" s="155"/>
      <c r="GF72" s="155"/>
      <c r="GG72" s="155"/>
      <c r="GH72" s="155"/>
      <c r="GI72" s="155"/>
      <c r="GJ72" s="155"/>
      <c r="GK72" s="155"/>
      <c r="GL72" s="155"/>
      <c r="GM72" s="155"/>
      <c r="GN72" s="155"/>
      <c r="GO72" s="155"/>
      <c r="GP72" s="155"/>
      <c r="GQ72" s="155"/>
      <c r="GR72" s="155"/>
      <c r="GS72" s="155"/>
      <c r="GT72" s="155"/>
      <c r="GU72" s="155"/>
      <c r="GV72" s="155"/>
      <c r="GW72" s="155"/>
      <c r="GX72" s="155"/>
      <c r="GY72" s="155"/>
      <c r="GZ72" s="155"/>
      <c r="HA72" s="155"/>
      <c r="HB72" s="155"/>
      <c r="HC72" s="155"/>
      <c r="HD72" s="155"/>
      <c r="HE72" s="155"/>
      <c r="HF72" s="155"/>
      <c r="HG72" s="155"/>
      <c r="HH72" s="155"/>
      <c r="HI72" s="155"/>
      <c r="HJ72" s="155"/>
      <c r="HK72" s="155"/>
      <c r="HL72" s="155"/>
      <c r="HM72" s="155"/>
      <c r="HN72" s="155"/>
      <c r="HO72" s="155"/>
      <c r="HP72" s="155"/>
      <c r="HQ72" s="155"/>
      <c r="HR72" s="155"/>
      <c r="HS72" s="155"/>
      <c r="HT72" s="155"/>
      <c r="HU72" s="155"/>
      <c r="HV72" s="155"/>
      <c r="HW72" s="155"/>
      <c r="HX72" s="155"/>
      <c r="HY72" s="155"/>
      <c r="HZ72" s="155"/>
      <c r="IA72" s="155"/>
      <c r="IB72" s="155"/>
      <c r="IC72" s="155"/>
      <c r="ID72" s="155"/>
      <c r="IE72" s="155"/>
      <c r="IF72" s="155"/>
      <c r="IG72" s="155"/>
      <c r="IH72" s="155"/>
      <c r="II72" s="155"/>
      <c r="IJ72" s="155"/>
      <c r="IK72" s="155"/>
      <c r="IL72" s="155"/>
      <c r="IM72" s="155"/>
      <c r="IN72" s="155"/>
      <c r="IO72" s="155"/>
      <c r="IP72" s="155"/>
      <c r="IQ72" s="155"/>
      <c r="IR72" s="155"/>
      <c r="IS72" s="155"/>
      <c r="IT72" s="155"/>
      <c r="IU72" s="155"/>
      <c r="IV72" s="155"/>
    </row>
    <row r="73" spans="1:256" ht="15" customHeight="1">
      <c r="A73" s="240" t="s">
        <v>167</v>
      </c>
      <c r="B73" s="69"/>
      <c r="C73" s="69"/>
      <c r="D73" s="69"/>
      <c r="E73" s="69"/>
      <c r="F73" s="69"/>
      <c r="G73" s="69"/>
      <c r="H73" s="83"/>
      <c r="I73" s="83"/>
      <c r="J73" s="83"/>
      <c r="K73" s="83"/>
      <c r="L73" s="83"/>
      <c r="M73" s="83"/>
      <c r="N73" s="83"/>
      <c r="O73" s="83"/>
    </row>
    <row r="74" spans="1:256" ht="15" customHeight="1">
      <c r="A74" s="67" t="s">
        <v>168</v>
      </c>
      <c r="B74" s="67" t="s">
        <v>80</v>
      </c>
      <c r="C74" s="67" t="s">
        <v>81</v>
      </c>
      <c r="D74" s="67" t="s">
        <v>171</v>
      </c>
      <c r="E74" s="67" t="s">
        <v>248</v>
      </c>
      <c r="F74" s="67" t="s">
        <v>171</v>
      </c>
      <c r="G74" s="67" t="s">
        <v>172</v>
      </c>
      <c r="H74" s="83"/>
      <c r="I74" s="83"/>
      <c r="J74" s="83"/>
      <c r="K74" s="83"/>
      <c r="L74" s="83"/>
      <c r="M74" s="83"/>
      <c r="N74" s="83"/>
      <c r="O74" s="83"/>
    </row>
    <row r="75" spans="1:256" ht="15" customHeight="1" thickBot="1">
      <c r="A75" s="49" t="s">
        <v>169</v>
      </c>
      <c r="B75" s="49" t="s">
        <v>43</v>
      </c>
      <c r="C75" s="49" t="s">
        <v>170</v>
      </c>
      <c r="D75" s="49" t="s">
        <v>247</v>
      </c>
      <c r="E75" s="49" t="s">
        <v>249</v>
      </c>
      <c r="F75" s="49" t="s">
        <v>115</v>
      </c>
      <c r="G75" s="49" t="s">
        <v>173</v>
      </c>
      <c r="H75" s="83"/>
      <c r="I75" s="83"/>
      <c r="J75" s="83"/>
      <c r="K75" s="83"/>
      <c r="L75" s="83"/>
      <c r="M75" s="83"/>
      <c r="N75" s="83"/>
      <c r="O75" s="83"/>
    </row>
    <row r="76" spans="1:256" ht="15" customHeight="1" thickTop="1" thickBot="1">
      <c r="A76" s="40">
        <v>64</v>
      </c>
      <c r="B76" s="40">
        <v>7</v>
      </c>
      <c r="C76" s="29">
        <f>+(3600/B76)*A76</f>
        <v>32914.285714285717</v>
      </c>
      <c r="D76" s="40">
        <v>24</v>
      </c>
      <c r="E76" s="40">
        <v>220</v>
      </c>
      <c r="F76" s="29">
        <f>+D76*E76</f>
        <v>5280</v>
      </c>
      <c r="G76" s="39">
        <f>+C76*F76/1000000</f>
        <v>173.78742857142859</v>
      </c>
      <c r="H76" s="83"/>
      <c r="I76" s="83"/>
      <c r="J76" s="83"/>
      <c r="K76" s="83"/>
      <c r="L76" s="83"/>
      <c r="M76" s="83"/>
      <c r="N76" s="83"/>
      <c r="O76" s="83"/>
    </row>
    <row r="77" spans="1:256" ht="15" customHeight="1" thickTop="1" thickBot="1">
      <c r="A77" s="40">
        <v>32</v>
      </c>
      <c r="B77" s="40">
        <v>7</v>
      </c>
      <c r="C77" s="29">
        <f>+(3600/B77)*A77</f>
        <v>16457.142857142859</v>
      </c>
      <c r="D77" s="40">
        <v>24</v>
      </c>
      <c r="E77" s="29">
        <f>+F77/D77</f>
        <v>220</v>
      </c>
      <c r="F77" s="40">
        <v>5280</v>
      </c>
      <c r="G77" s="39">
        <f>+C77*F77/1000000</f>
        <v>86.893714285714296</v>
      </c>
      <c r="H77" s="83"/>
      <c r="I77" s="83"/>
      <c r="J77" s="83"/>
      <c r="K77" s="83"/>
      <c r="L77" s="83"/>
      <c r="M77" s="83"/>
      <c r="N77" s="83"/>
      <c r="O77" s="83"/>
    </row>
    <row r="78" spans="1:256" s="156" customFormat="1" ht="15" customHeight="1" thickTop="1" thickBot="1">
      <c r="A78" s="102"/>
      <c r="B78" s="102"/>
      <c r="C78" s="94"/>
      <c r="D78" s="102"/>
      <c r="E78" s="94"/>
      <c r="F78" s="102"/>
      <c r="G78" s="101"/>
      <c r="H78" s="96"/>
      <c r="I78" s="96"/>
      <c r="J78" s="96"/>
      <c r="K78" s="96"/>
      <c r="L78" s="96"/>
      <c r="M78" s="96"/>
      <c r="N78" s="96"/>
      <c r="O78" s="96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  <c r="CA78" s="155"/>
      <c r="CB78" s="155"/>
      <c r="CC78" s="155"/>
      <c r="CD78" s="155"/>
      <c r="CE78" s="155"/>
      <c r="CF78" s="155"/>
      <c r="CG78" s="155"/>
      <c r="CH78" s="155"/>
      <c r="CI78" s="155"/>
      <c r="CJ78" s="155"/>
      <c r="CK78" s="155"/>
      <c r="CL78" s="155"/>
      <c r="CM78" s="155"/>
      <c r="CN78" s="155"/>
      <c r="CO78" s="155"/>
      <c r="CP78" s="155"/>
      <c r="CQ78" s="155"/>
      <c r="CR78" s="155"/>
      <c r="CS78" s="155"/>
      <c r="CT78" s="155"/>
      <c r="CU78" s="155"/>
      <c r="CV78" s="155"/>
      <c r="CW78" s="155"/>
      <c r="CX78" s="155"/>
      <c r="CY78" s="155"/>
      <c r="CZ78" s="155"/>
      <c r="DA78" s="155"/>
      <c r="DB78" s="155"/>
      <c r="DC78" s="155"/>
      <c r="DD78" s="155"/>
      <c r="DE78" s="155"/>
      <c r="DF78" s="155"/>
      <c r="DG78" s="155"/>
      <c r="DH78" s="155"/>
      <c r="DI78" s="155"/>
      <c r="DJ78" s="155"/>
      <c r="DK78" s="155"/>
      <c r="DL78" s="155"/>
      <c r="DM78" s="155"/>
      <c r="DN78" s="155"/>
      <c r="DO78" s="155"/>
      <c r="DP78" s="155"/>
      <c r="DQ78" s="155"/>
      <c r="DR78" s="155"/>
      <c r="DS78" s="155"/>
      <c r="DT78" s="155"/>
      <c r="DU78" s="155"/>
      <c r="DV78" s="155"/>
      <c r="DW78" s="155"/>
      <c r="DX78" s="155"/>
      <c r="DY78" s="155"/>
      <c r="DZ78" s="155"/>
      <c r="EA78" s="155"/>
      <c r="EB78" s="155"/>
      <c r="EC78" s="155"/>
      <c r="ED78" s="155"/>
      <c r="EE78" s="155"/>
      <c r="EF78" s="155"/>
      <c r="EG78" s="155"/>
      <c r="EH78" s="155"/>
      <c r="EI78" s="155"/>
      <c r="EJ78" s="155"/>
      <c r="EK78" s="155"/>
      <c r="EL78" s="155"/>
      <c r="EM78" s="155"/>
      <c r="EN78" s="155"/>
      <c r="EO78" s="155"/>
      <c r="EP78" s="155"/>
      <c r="EQ78" s="155"/>
      <c r="ER78" s="155"/>
      <c r="ES78" s="155"/>
      <c r="ET78" s="155"/>
      <c r="EU78" s="155"/>
      <c r="EV78" s="155"/>
      <c r="EW78" s="155"/>
      <c r="EX78" s="155"/>
      <c r="EY78" s="155"/>
      <c r="EZ78" s="155"/>
      <c r="FA78" s="155"/>
      <c r="FB78" s="155"/>
      <c r="FC78" s="155"/>
      <c r="FD78" s="155"/>
      <c r="FE78" s="155"/>
      <c r="FF78" s="155"/>
      <c r="FG78" s="155"/>
      <c r="FH78" s="155"/>
      <c r="FI78" s="155"/>
      <c r="FJ78" s="155"/>
      <c r="FK78" s="155"/>
      <c r="FL78" s="155"/>
      <c r="FM78" s="155"/>
      <c r="FN78" s="155"/>
      <c r="FO78" s="155"/>
      <c r="FP78" s="155"/>
      <c r="FQ78" s="155"/>
      <c r="FR78" s="155"/>
      <c r="FS78" s="155"/>
      <c r="FT78" s="155"/>
      <c r="FU78" s="155"/>
      <c r="FV78" s="155"/>
      <c r="FW78" s="155"/>
      <c r="FX78" s="155"/>
      <c r="FY78" s="155"/>
      <c r="FZ78" s="155"/>
      <c r="GA78" s="155"/>
      <c r="GB78" s="155"/>
      <c r="GC78" s="155"/>
      <c r="GD78" s="155"/>
      <c r="GE78" s="155"/>
      <c r="GF78" s="155"/>
      <c r="GG78" s="155"/>
      <c r="GH78" s="155"/>
      <c r="GI78" s="155"/>
      <c r="GJ78" s="155"/>
      <c r="GK78" s="155"/>
      <c r="GL78" s="155"/>
      <c r="GM78" s="155"/>
      <c r="GN78" s="155"/>
      <c r="GO78" s="155"/>
      <c r="GP78" s="155"/>
      <c r="GQ78" s="155"/>
      <c r="GR78" s="155"/>
      <c r="GS78" s="155"/>
      <c r="GT78" s="155"/>
      <c r="GU78" s="155"/>
      <c r="GV78" s="155"/>
      <c r="GW78" s="155"/>
      <c r="GX78" s="155"/>
      <c r="GY78" s="155"/>
      <c r="GZ78" s="155"/>
      <c r="HA78" s="155"/>
      <c r="HB78" s="155"/>
      <c r="HC78" s="155"/>
      <c r="HD78" s="155"/>
      <c r="HE78" s="155"/>
      <c r="HF78" s="155"/>
      <c r="HG78" s="155"/>
      <c r="HH78" s="155"/>
      <c r="HI78" s="155"/>
      <c r="HJ78" s="155"/>
      <c r="HK78" s="155"/>
      <c r="HL78" s="155"/>
      <c r="HM78" s="155"/>
      <c r="HN78" s="155"/>
      <c r="HO78" s="155"/>
      <c r="HP78" s="155"/>
      <c r="HQ78" s="155"/>
      <c r="HR78" s="155"/>
      <c r="HS78" s="155"/>
      <c r="HT78" s="155"/>
      <c r="HU78" s="155"/>
      <c r="HV78" s="155"/>
      <c r="HW78" s="155"/>
      <c r="HX78" s="155"/>
      <c r="HY78" s="155"/>
      <c r="HZ78" s="155"/>
      <c r="IA78" s="155"/>
      <c r="IB78" s="155"/>
      <c r="IC78" s="155"/>
      <c r="ID78" s="155"/>
      <c r="IE78" s="155"/>
      <c r="IF78" s="155"/>
      <c r="IG78" s="155"/>
      <c r="IH78" s="155"/>
      <c r="II78" s="155"/>
      <c r="IJ78" s="155"/>
      <c r="IK78" s="155"/>
      <c r="IL78" s="155"/>
      <c r="IM78" s="155"/>
      <c r="IN78" s="155"/>
      <c r="IO78" s="155"/>
      <c r="IP78" s="155"/>
      <c r="IQ78" s="155"/>
      <c r="IR78" s="155"/>
      <c r="IS78" s="155"/>
      <c r="IT78" s="155"/>
      <c r="IU78" s="155"/>
      <c r="IV78" s="155"/>
    </row>
    <row r="79" spans="1:256" ht="15" customHeight="1" thickTop="1">
      <c r="A79" s="205" t="s">
        <v>340</v>
      </c>
      <c r="B79" s="206"/>
      <c r="C79" s="206"/>
      <c r="D79" s="206"/>
      <c r="E79" s="206"/>
      <c r="F79" s="206"/>
      <c r="G79" s="206"/>
      <c r="H79" s="207"/>
      <c r="I79" s="83"/>
      <c r="J79" s="83"/>
      <c r="K79" s="83"/>
      <c r="L79" s="83"/>
      <c r="M79" s="83"/>
      <c r="N79" s="83"/>
      <c r="O79" s="83"/>
    </row>
    <row r="80" spans="1:256" ht="15" customHeight="1">
      <c r="A80" s="195" t="s">
        <v>79</v>
      </c>
      <c r="B80" s="49" t="s">
        <v>80</v>
      </c>
      <c r="C80" s="49" t="s">
        <v>81</v>
      </c>
      <c r="D80" s="49" t="s">
        <v>87</v>
      </c>
      <c r="E80" s="49" t="s">
        <v>88</v>
      </c>
      <c r="F80" s="49" t="s">
        <v>174</v>
      </c>
      <c r="G80" s="49" t="s">
        <v>174</v>
      </c>
      <c r="H80" s="196" t="s">
        <v>174</v>
      </c>
      <c r="I80" s="83"/>
      <c r="J80" s="83"/>
      <c r="K80" s="83"/>
      <c r="L80" s="83"/>
      <c r="M80" s="83"/>
      <c r="N80" s="83"/>
      <c r="O80" s="83"/>
    </row>
    <row r="81" spans="1:256" ht="15" customHeight="1">
      <c r="A81" s="199"/>
      <c r="B81" s="52"/>
      <c r="C81" s="52"/>
      <c r="D81" s="52"/>
      <c r="E81" s="52"/>
      <c r="F81" s="52" t="s">
        <v>250</v>
      </c>
      <c r="G81" s="52" t="s">
        <v>256</v>
      </c>
      <c r="H81" s="194" t="s">
        <v>109</v>
      </c>
      <c r="I81" s="83"/>
      <c r="J81" s="83"/>
      <c r="K81" s="83"/>
      <c r="L81" s="83"/>
      <c r="M81" s="83"/>
      <c r="N81" s="83"/>
      <c r="O81" s="83"/>
    </row>
    <row r="82" spans="1:256" ht="15" customHeight="1">
      <c r="A82" s="195" t="s">
        <v>42</v>
      </c>
      <c r="B82" s="49" t="s">
        <v>43</v>
      </c>
      <c r="C82" s="49" t="s">
        <v>50</v>
      </c>
      <c r="D82" s="49" t="s">
        <v>43</v>
      </c>
      <c r="E82" s="49" t="s">
        <v>13</v>
      </c>
      <c r="F82" s="49" t="s">
        <v>111</v>
      </c>
      <c r="G82" s="49" t="s">
        <v>255</v>
      </c>
      <c r="H82" s="196" t="s">
        <v>111</v>
      </c>
      <c r="I82" s="83"/>
      <c r="J82" s="83"/>
      <c r="K82" s="83"/>
      <c r="L82" s="83"/>
      <c r="M82" s="83"/>
      <c r="N82" s="83"/>
      <c r="O82" s="83"/>
    </row>
    <row r="83" spans="1:256" ht="15" customHeight="1">
      <c r="A83" s="208">
        <f>2.5*64</f>
        <v>160</v>
      </c>
      <c r="B83" s="182">
        <v>7</v>
      </c>
      <c r="C83" s="16">
        <f>+(A83/1000)*3600/B83</f>
        <v>82.285714285714292</v>
      </c>
      <c r="D83" s="182">
        <v>5</v>
      </c>
      <c r="E83" s="38">
        <f>+A83/D83</f>
        <v>32</v>
      </c>
      <c r="F83" s="182">
        <v>50</v>
      </c>
      <c r="G83" s="183">
        <v>0.6</v>
      </c>
      <c r="H83" s="209">
        <f>+F83*G83</f>
        <v>30</v>
      </c>
      <c r="I83" s="83"/>
      <c r="J83" s="83"/>
      <c r="K83" s="83"/>
      <c r="L83" s="83"/>
      <c r="M83" s="83"/>
      <c r="N83" s="83"/>
      <c r="O83" s="83"/>
    </row>
    <row r="84" spans="1:256" ht="15" customHeight="1">
      <c r="A84" s="210" t="s">
        <v>81</v>
      </c>
      <c r="B84" s="181" t="s">
        <v>86</v>
      </c>
      <c r="C84" s="181" t="s">
        <v>82</v>
      </c>
      <c r="D84" s="181" t="s">
        <v>252</v>
      </c>
      <c r="E84" s="181" t="s">
        <v>252</v>
      </c>
      <c r="F84" s="181" t="s">
        <v>84</v>
      </c>
      <c r="G84" s="181" t="s">
        <v>84</v>
      </c>
      <c r="H84" s="211" t="s">
        <v>84</v>
      </c>
      <c r="I84" s="83"/>
      <c r="J84" s="83"/>
      <c r="K84" s="83"/>
      <c r="L84" s="83"/>
      <c r="M84" s="83"/>
      <c r="N84" s="83"/>
      <c r="O84" s="83"/>
    </row>
    <row r="85" spans="1:256" ht="15" customHeight="1">
      <c r="A85" s="199"/>
      <c r="B85" s="52"/>
      <c r="C85" s="52"/>
      <c r="D85" s="52" t="s">
        <v>251</v>
      </c>
      <c r="E85" s="52" t="s">
        <v>253</v>
      </c>
      <c r="F85" s="52" t="s">
        <v>169</v>
      </c>
      <c r="G85" s="52" t="s">
        <v>169</v>
      </c>
      <c r="H85" s="194" t="s">
        <v>254</v>
      </c>
      <c r="I85" s="83"/>
      <c r="J85" s="83"/>
      <c r="K85" s="83"/>
      <c r="L85" s="83"/>
      <c r="M85" s="83"/>
      <c r="N85" s="83"/>
      <c r="O85" s="83"/>
    </row>
    <row r="86" spans="1:256" ht="15" customHeight="1">
      <c r="A86" s="195" t="s">
        <v>50</v>
      </c>
      <c r="B86" s="49" t="s">
        <v>53</v>
      </c>
      <c r="C86" s="49" t="s">
        <v>83</v>
      </c>
      <c r="D86" s="49" t="s">
        <v>72</v>
      </c>
      <c r="E86" s="49" t="s">
        <v>72</v>
      </c>
      <c r="F86" s="49" t="s">
        <v>54</v>
      </c>
      <c r="G86" s="49" t="s">
        <v>111</v>
      </c>
      <c r="H86" s="196" t="s">
        <v>111</v>
      </c>
      <c r="I86" s="83"/>
      <c r="J86" s="83"/>
      <c r="K86" s="83"/>
      <c r="L86" s="83"/>
      <c r="M86" s="83"/>
      <c r="N86" s="83"/>
      <c r="O86" s="83"/>
    </row>
    <row r="87" spans="1:256" ht="15" customHeight="1">
      <c r="A87" s="212">
        <f>+C83</f>
        <v>82.285714285714292</v>
      </c>
      <c r="B87" s="38" t="s">
        <v>55</v>
      </c>
      <c r="C87" s="38">
        <v>0.84</v>
      </c>
      <c r="D87" s="182">
        <v>50</v>
      </c>
      <c r="E87" s="182">
        <v>240</v>
      </c>
      <c r="F87" s="184">
        <f>+C87*0.238845*A87*(E87-D87)</f>
        <v>3136.7036160000002</v>
      </c>
      <c r="G87" s="184">
        <f>+F87/860</f>
        <v>3.6473297860465119</v>
      </c>
      <c r="H87" s="213">
        <f>+$H$83+G87</f>
        <v>33.647329786046512</v>
      </c>
      <c r="I87" s="83"/>
      <c r="J87" s="83"/>
      <c r="K87" s="83"/>
      <c r="L87" s="83"/>
      <c r="M87" s="83"/>
      <c r="N87" s="83"/>
      <c r="O87" s="83"/>
    </row>
    <row r="88" spans="1:256" ht="15" customHeight="1">
      <c r="A88" s="212">
        <f>+C83</f>
        <v>82.285714285714292</v>
      </c>
      <c r="B88" s="38" t="s">
        <v>56</v>
      </c>
      <c r="C88" s="38">
        <v>1.4</v>
      </c>
      <c r="D88" s="182">
        <v>50</v>
      </c>
      <c r="E88" s="182">
        <v>240</v>
      </c>
      <c r="F88" s="184">
        <f>+C88*0.238845*A88*(E88-D88)</f>
        <v>5227.8393599999999</v>
      </c>
      <c r="G88" s="184">
        <f t="shared" ref="G88:G91" si="0">+F88/860</f>
        <v>6.0788829767441861</v>
      </c>
      <c r="H88" s="213">
        <f>+$H$83+G88</f>
        <v>36.078882976744183</v>
      </c>
      <c r="I88" s="83"/>
      <c r="J88" s="83"/>
      <c r="K88" s="83"/>
      <c r="L88" s="83"/>
      <c r="M88" s="83"/>
      <c r="N88" s="83"/>
      <c r="O88" s="83"/>
    </row>
    <row r="89" spans="1:256" ht="15" customHeight="1">
      <c r="A89" s="212">
        <f>+C83</f>
        <v>82.285714285714292</v>
      </c>
      <c r="B89" s="38" t="s">
        <v>57</v>
      </c>
      <c r="C89" s="38">
        <v>1.8</v>
      </c>
      <c r="D89" s="182">
        <v>50</v>
      </c>
      <c r="E89" s="182">
        <v>240</v>
      </c>
      <c r="F89" s="184">
        <f>+C89*0.238845*A89*(E89-D89)</f>
        <v>6721.5077485714291</v>
      </c>
      <c r="G89" s="184">
        <f t="shared" si="0"/>
        <v>7.8157066843853826</v>
      </c>
      <c r="H89" s="213">
        <f>+$H$83+G89</f>
        <v>37.815706684385383</v>
      </c>
      <c r="I89" s="83"/>
      <c r="J89" s="83"/>
      <c r="K89" s="83"/>
      <c r="L89" s="83"/>
      <c r="M89" s="83"/>
      <c r="N89" s="83"/>
      <c r="O89" s="83"/>
    </row>
    <row r="90" spans="1:256" ht="15" customHeight="1">
      <c r="A90" s="212">
        <f>+C83</f>
        <v>82.285714285714292</v>
      </c>
      <c r="B90" s="38" t="s">
        <v>58</v>
      </c>
      <c r="C90" s="38">
        <v>1.3</v>
      </c>
      <c r="D90" s="182">
        <v>50</v>
      </c>
      <c r="E90" s="182">
        <v>240</v>
      </c>
      <c r="F90" s="184">
        <f>+C90*0.238845*A90*(E90-D90)</f>
        <v>4854.4222628571433</v>
      </c>
      <c r="G90" s="184">
        <f t="shared" si="0"/>
        <v>5.6446770498338878</v>
      </c>
      <c r="H90" s="213">
        <f>+$H$83+G90</f>
        <v>35.644677049833888</v>
      </c>
      <c r="I90" s="83"/>
      <c r="J90" s="83"/>
      <c r="K90" s="83"/>
      <c r="L90" s="83"/>
      <c r="M90" s="83"/>
      <c r="N90" s="83"/>
      <c r="O90" s="83"/>
    </row>
    <row r="91" spans="1:256" ht="15" customHeight="1" thickBot="1">
      <c r="A91" s="214">
        <f>+C83</f>
        <v>82.285714285714292</v>
      </c>
      <c r="B91" s="215" t="s">
        <v>85</v>
      </c>
      <c r="C91" s="216">
        <v>1</v>
      </c>
      <c r="D91" s="216">
        <v>50</v>
      </c>
      <c r="E91" s="216">
        <v>240</v>
      </c>
      <c r="F91" s="217">
        <f>+C91*0.238845*A91*(E91-D91)</f>
        <v>3734.1709714285716</v>
      </c>
      <c r="G91" s="217">
        <f t="shared" si="0"/>
        <v>4.3420592691029904</v>
      </c>
      <c r="H91" s="218">
        <f>+$H$83+G91</f>
        <v>34.34205926910299</v>
      </c>
      <c r="I91" s="83"/>
      <c r="J91" s="83"/>
      <c r="K91" s="83"/>
      <c r="L91" s="83"/>
      <c r="M91" s="83"/>
      <c r="N91" s="83"/>
      <c r="O91" s="83"/>
    </row>
    <row r="92" spans="1:256" s="156" customFormat="1" ht="15" customHeight="1" thickTop="1">
      <c r="A92" s="106"/>
      <c r="B92" s="103"/>
      <c r="C92" s="105"/>
      <c r="D92" s="105"/>
      <c r="E92" s="105"/>
      <c r="F92" s="104"/>
      <c r="G92" s="104"/>
      <c r="H92" s="104"/>
      <c r="I92" s="96"/>
      <c r="J92" s="96"/>
      <c r="K92" s="96"/>
      <c r="L92" s="96"/>
      <c r="M92" s="96"/>
      <c r="N92" s="96"/>
      <c r="O92" s="96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155"/>
      <c r="BY92" s="155"/>
      <c r="BZ92" s="155"/>
      <c r="CA92" s="155"/>
      <c r="CB92" s="155"/>
      <c r="CC92" s="155"/>
      <c r="CD92" s="155"/>
      <c r="CE92" s="155"/>
      <c r="CF92" s="155"/>
      <c r="CG92" s="155"/>
      <c r="CH92" s="155"/>
      <c r="CI92" s="155"/>
      <c r="CJ92" s="155"/>
      <c r="CK92" s="155"/>
      <c r="CL92" s="155"/>
      <c r="CM92" s="155"/>
      <c r="CN92" s="155"/>
      <c r="CO92" s="155"/>
      <c r="CP92" s="155"/>
      <c r="CQ92" s="155"/>
      <c r="CR92" s="155"/>
      <c r="CS92" s="155"/>
      <c r="CT92" s="155"/>
      <c r="CU92" s="155"/>
      <c r="CV92" s="155"/>
      <c r="CW92" s="155"/>
      <c r="CX92" s="155"/>
      <c r="CY92" s="155"/>
      <c r="CZ92" s="155"/>
      <c r="DA92" s="155"/>
      <c r="DB92" s="155"/>
      <c r="DC92" s="155"/>
      <c r="DD92" s="155"/>
      <c r="DE92" s="155"/>
      <c r="DF92" s="155"/>
      <c r="DG92" s="155"/>
      <c r="DH92" s="155"/>
      <c r="DI92" s="155"/>
      <c r="DJ92" s="155"/>
      <c r="DK92" s="155"/>
      <c r="DL92" s="155"/>
      <c r="DM92" s="155"/>
      <c r="DN92" s="155"/>
      <c r="DO92" s="155"/>
      <c r="DP92" s="155"/>
      <c r="DQ92" s="155"/>
      <c r="DR92" s="155"/>
      <c r="DS92" s="155"/>
      <c r="DT92" s="155"/>
      <c r="DU92" s="155"/>
      <c r="DV92" s="155"/>
      <c r="DW92" s="155"/>
      <c r="DX92" s="155"/>
      <c r="DY92" s="155"/>
      <c r="DZ92" s="155"/>
      <c r="EA92" s="155"/>
      <c r="EB92" s="155"/>
      <c r="EC92" s="155"/>
      <c r="ED92" s="155"/>
      <c r="EE92" s="155"/>
      <c r="EF92" s="155"/>
      <c r="EG92" s="155"/>
      <c r="EH92" s="155"/>
      <c r="EI92" s="155"/>
      <c r="EJ92" s="155"/>
      <c r="EK92" s="155"/>
      <c r="EL92" s="155"/>
      <c r="EM92" s="155"/>
      <c r="EN92" s="155"/>
      <c r="EO92" s="155"/>
      <c r="EP92" s="155"/>
      <c r="EQ92" s="155"/>
      <c r="ER92" s="155"/>
      <c r="ES92" s="155"/>
      <c r="ET92" s="155"/>
      <c r="EU92" s="155"/>
      <c r="EV92" s="155"/>
      <c r="EW92" s="155"/>
      <c r="EX92" s="155"/>
      <c r="EY92" s="155"/>
      <c r="EZ92" s="155"/>
      <c r="FA92" s="155"/>
      <c r="FB92" s="155"/>
      <c r="FC92" s="155"/>
      <c r="FD92" s="155"/>
      <c r="FE92" s="155"/>
      <c r="FF92" s="155"/>
      <c r="FG92" s="155"/>
      <c r="FH92" s="155"/>
      <c r="FI92" s="155"/>
      <c r="FJ92" s="155"/>
      <c r="FK92" s="155"/>
      <c r="FL92" s="155"/>
      <c r="FM92" s="155"/>
      <c r="FN92" s="155"/>
      <c r="FO92" s="155"/>
      <c r="FP92" s="155"/>
      <c r="FQ92" s="155"/>
      <c r="FR92" s="155"/>
      <c r="FS92" s="155"/>
      <c r="FT92" s="155"/>
      <c r="FU92" s="155"/>
      <c r="FV92" s="155"/>
      <c r="FW92" s="155"/>
      <c r="FX92" s="155"/>
      <c r="FY92" s="155"/>
      <c r="FZ92" s="155"/>
      <c r="GA92" s="155"/>
      <c r="GB92" s="155"/>
      <c r="GC92" s="155"/>
      <c r="GD92" s="155"/>
      <c r="GE92" s="155"/>
      <c r="GF92" s="155"/>
      <c r="GG92" s="155"/>
      <c r="GH92" s="155"/>
      <c r="GI92" s="155"/>
      <c r="GJ92" s="155"/>
      <c r="GK92" s="155"/>
      <c r="GL92" s="155"/>
      <c r="GM92" s="155"/>
      <c r="GN92" s="155"/>
      <c r="GO92" s="155"/>
      <c r="GP92" s="155"/>
      <c r="GQ92" s="155"/>
      <c r="GR92" s="155"/>
      <c r="GS92" s="155"/>
      <c r="GT92" s="155"/>
      <c r="GU92" s="155"/>
      <c r="GV92" s="155"/>
      <c r="GW92" s="155"/>
      <c r="GX92" s="155"/>
      <c r="GY92" s="155"/>
      <c r="GZ92" s="155"/>
      <c r="HA92" s="155"/>
      <c r="HB92" s="155"/>
      <c r="HC92" s="155"/>
      <c r="HD92" s="155"/>
      <c r="HE92" s="155"/>
      <c r="HF92" s="155"/>
      <c r="HG92" s="155"/>
      <c r="HH92" s="155"/>
      <c r="HI92" s="155"/>
      <c r="HJ92" s="155"/>
      <c r="HK92" s="155"/>
      <c r="HL92" s="155"/>
      <c r="HM92" s="155"/>
      <c r="HN92" s="155"/>
      <c r="HO92" s="155"/>
      <c r="HP92" s="155"/>
      <c r="HQ92" s="155"/>
      <c r="HR92" s="155"/>
      <c r="HS92" s="155"/>
      <c r="HT92" s="155"/>
      <c r="HU92" s="155"/>
      <c r="HV92" s="155"/>
      <c r="HW92" s="155"/>
      <c r="HX92" s="155"/>
      <c r="HY92" s="155"/>
      <c r="HZ92" s="155"/>
      <c r="IA92" s="155"/>
      <c r="IB92" s="155"/>
      <c r="IC92" s="155"/>
      <c r="ID92" s="155"/>
      <c r="IE92" s="155"/>
      <c r="IF92" s="155"/>
      <c r="IG92" s="155"/>
      <c r="IH92" s="155"/>
      <c r="II92" s="155"/>
      <c r="IJ92" s="155"/>
      <c r="IK92" s="155"/>
      <c r="IL92" s="155"/>
      <c r="IM92" s="155"/>
      <c r="IN92" s="155"/>
      <c r="IO92" s="155"/>
      <c r="IP92" s="155"/>
      <c r="IQ92" s="155"/>
      <c r="IR92" s="155"/>
      <c r="IS92" s="155"/>
      <c r="IT92" s="155"/>
      <c r="IU92" s="155"/>
      <c r="IV92" s="155"/>
    </row>
    <row r="93" spans="1:256" ht="15" customHeight="1">
      <c r="A93" s="241" t="s">
        <v>78</v>
      </c>
      <c r="B93" s="242"/>
      <c r="C93" s="227"/>
      <c r="D93" s="228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</row>
    <row r="94" spans="1:256" ht="15" customHeight="1">
      <c r="A94" s="67" t="s">
        <v>58</v>
      </c>
      <c r="B94" s="67" t="s">
        <v>58</v>
      </c>
      <c r="C94" s="67" t="s">
        <v>55</v>
      </c>
      <c r="D94" s="67" t="s">
        <v>55</v>
      </c>
      <c r="E94" s="84"/>
      <c r="F94" s="84"/>
      <c r="G94" s="83"/>
      <c r="H94" s="83"/>
      <c r="I94" s="83"/>
      <c r="J94" s="83"/>
      <c r="K94" s="83"/>
      <c r="L94" s="83"/>
      <c r="M94" s="83"/>
      <c r="N94" s="83"/>
      <c r="O94" s="83"/>
    </row>
    <row r="95" spans="1:256" ht="15" customHeight="1" thickBot="1">
      <c r="A95" s="49" t="s">
        <v>50</v>
      </c>
      <c r="B95" s="49" t="s">
        <v>13</v>
      </c>
      <c r="C95" s="49" t="s">
        <v>50</v>
      </c>
      <c r="D95" s="49" t="s">
        <v>13</v>
      </c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</row>
    <row r="96" spans="1:256" ht="15" customHeight="1" thickTop="1" thickBot="1">
      <c r="A96" s="9">
        <f>B96*3.6</f>
        <v>306</v>
      </c>
      <c r="B96" s="8">
        <v>85</v>
      </c>
      <c r="C96" s="9">
        <f>A96*0.75/0.95</f>
        <v>241.57894736842107</v>
      </c>
      <c r="D96" s="7">
        <f>C96/3.6</f>
        <v>67.10526315789474</v>
      </c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</row>
    <row r="97" spans="1:256" ht="15" customHeight="1" thickTop="1" thickBot="1">
      <c r="A97" s="6">
        <v>306</v>
      </c>
      <c r="B97" s="7">
        <f>A97/3.6</f>
        <v>85</v>
      </c>
      <c r="C97" s="9">
        <f>A97*0.75/0.95</f>
        <v>241.57894736842107</v>
      </c>
      <c r="D97" s="7">
        <f>C97/3.6</f>
        <v>67.10526315789474</v>
      </c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</row>
    <row r="98" spans="1:256" s="156" customFormat="1" ht="15" customHeight="1" thickTop="1">
      <c r="A98" s="88"/>
      <c r="B98" s="85"/>
      <c r="C98" s="97"/>
      <c r="D98" s="85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  <c r="BM98" s="155"/>
      <c r="BN98" s="155"/>
      <c r="BO98" s="155"/>
      <c r="BP98" s="155"/>
      <c r="BQ98" s="155"/>
      <c r="BR98" s="155"/>
      <c r="BS98" s="155"/>
      <c r="BT98" s="155"/>
      <c r="BU98" s="155"/>
      <c r="BV98" s="155"/>
      <c r="BW98" s="155"/>
      <c r="BX98" s="155"/>
      <c r="BY98" s="155"/>
      <c r="BZ98" s="155"/>
      <c r="CA98" s="155"/>
      <c r="CB98" s="155"/>
      <c r="CC98" s="155"/>
      <c r="CD98" s="155"/>
      <c r="CE98" s="155"/>
      <c r="CF98" s="155"/>
      <c r="CG98" s="155"/>
      <c r="CH98" s="155"/>
      <c r="CI98" s="155"/>
      <c r="CJ98" s="155"/>
      <c r="CK98" s="155"/>
      <c r="CL98" s="155"/>
      <c r="CM98" s="155"/>
      <c r="CN98" s="155"/>
      <c r="CO98" s="155"/>
      <c r="CP98" s="155"/>
      <c r="CQ98" s="155"/>
      <c r="CR98" s="155"/>
      <c r="CS98" s="155"/>
      <c r="CT98" s="155"/>
      <c r="CU98" s="155"/>
      <c r="CV98" s="155"/>
      <c r="CW98" s="155"/>
      <c r="CX98" s="155"/>
      <c r="CY98" s="155"/>
      <c r="CZ98" s="155"/>
      <c r="DA98" s="155"/>
      <c r="DB98" s="155"/>
      <c r="DC98" s="155"/>
      <c r="DD98" s="155"/>
      <c r="DE98" s="155"/>
      <c r="DF98" s="155"/>
      <c r="DG98" s="155"/>
      <c r="DH98" s="155"/>
      <c r="DI98" s="155"/>
      <c r="DJ98" s="155"/>
      <c r="DK98" s="155"/>
      <c r="DL98" s="155"/>
      <c r="DM98" s="155"/>
      <c r="DN98" s="155"/>
      <c r="DO98" s="155"/>
      <c r="DP98" s="155"/>
      <c r="DQ98" s="155"/>
      <c r="DR98" s="155"/>
      <c r="DS98" s="155"/>
      <c r="DT98" s="155"/>
      <c r="DU98" s="155"/>
      <c r="DV98" s="155"/>
      <c r="DW98" s="155"/>
      <c r="DX98" s="155"/>
      <c r="DY98" s="155"/>
      <c r="DZ98" s="155"/>
      <c r="EA98" s="155"/>
      <c r="EB98" s="155"/>
      <c r="EC98" s="155"/>
      <c r="ED98" s="155"/>
      <c r="EE98" s="155"/>
      <c r="EF98" s="155"/>
      <c r="EG98" s="155"/>
      <c r="EH98" s="155"/>
      <c r="EI98" s="155"/>
      <c r="EJ98" s="155"/>
      <c r="EK98" s="155"/>
      <c r="EL98" s="155"/>
      <c r="EM98" s="155"/>
      <c r="EN98" s="155"/>
      <c r="EO98" s="155"/>
      <c r="EP98" s="155"/>
      <c r="EQ98" s="155"/>
      <c r="ER98" s="155"/>
      <c r="ES98" s="155"/>
      <c r="ET98" s="155"/>
      <c r="EU98" s="155"/>
      <c r="EV98" s="155"/>
      <c r="EW98" s="155"/>
      <c r="EX98" s="155"/>
      <c r="EY98" s="155"/>
      <c r="EZ98" s="155"/>
      <c r="FA98" s="155"/>
      <c r="FB98" s="155"/>
      <c r="FC98" s="155"/>
      <c r="FD98" s="155"/>
      <c r="FE98" s="155"/>
      <c r="FF98" s="155"/>
      <c r="FG98" s="155"/>
      <c r="FH98" s="155"/>
      <c r="FI98" s="155"/>
      <c r="FJ98" s="155"/>
      <c r="FK98" s="155"/>
      <c r="FL98" s="155"/>
      <c r="FM98" s="155"/>
      <c r="FN98" s="155"/>
      <c r="FO98" s="155"/>
      <c r="FP98" s="155"/>
      <c r="FQ98" s="155"/>
      <c r="FR98" s="155"/>
      <c r="FS98" s="155"/>
      <c r="FT98" s="155"/>
      <c r="FU98" s="155"/>
      <c r="FV98" s="155"/>
      <c r="FW98" s="155"/>
      <c r="FX98" s="155"/>
      <c r="FY98" s="155"/>
      <c r="FZ98" s="155"/>
      <c r="GA98" s="155"/>
      <c r="GB98" s="155"/>
      <c r="GC98" s="155"/>
      <c r="GD98" s="155"/>
      <c r="GE98" s="155"/>
      <c r="GF98" s="155"/>
      <c r="GG98" s="155"/>
      <c r="GH98" s="155"/>
      <c r="GI98" s="155"/>
      <c r="GJ98" s="155"/>
      <c r="GK98" s="155"/>
      <c r="GL98" s="155"/>
      <c r="GM98" s="155"/>
      <c r="GN98" s="155"/>
      <c r="GO98" s="155"/>
      <c r="GP98" s="155"/>
      <c r="GQ98" s="155"/>
      <c r="GR98" s="155"/>
      <c r="GS98" s="155"/>
      <c r="GT98" s="155"/>
      <c r="GU98" s="155"/>
      <c r="GV98" s="155"/>
      <c r="GW98" s="155"/>
      <c r="GX98" s="155"/>
      <c r="GY98" s="155"/>
      <c r="GZ98" s="155"/>
      <c r="HA98" s="155"/>
      <c r="HB98" s="155"/>
      <c r="HC98" s="155"/>
      <c r="HD98" s="155"/>
      <c r="HE98" s="155"/>
      <c r="HF98" s="155"/>
      <c r="HG98" s="155"/>
      <c r="HH98" s="155"/>
      <c r="HI98" s="155"/>
      <c r="HJ98" s="155"/>
      <c r="HK98" s="155"/>
      <c r="HL98" s="155"/>
      <c r="HM98" s="155"/>
      <c r="HN98" s="155"/>
      <c r="HO98" s="155"/>
      <c r="HP98" s="155"/>
      <c r="HQ98" s="155"/>
      <c r="HR98" s="155"/>
      <c r="HS98" s="155"/>
      <c r="HT98" s="155"/>
      <c r="HU98" s="155"/>
      <c r="HV98" s="155"/>
      <c r="HW98" s="155"/>
      <c r="HX98" s="155"/>
      <c r="HY98" s="155"/>
      <c r="HZ98" s="155"/>
      <c r="IA98" s="155"/>
      <c r="IB98" s="155"/>
      <c r="IC98" s="155"/>
      <c r="ID98" s="155"/>
      <c r="IE98" s="155"/>
      <c r="IF98" s="155"/>
      <c r="IG98" s="155"/>
      <c r="IH98" s="155"/>
      <c r="II98" s="155"/>
      <c r="IJ98" s="155"/>
      <c r="IK98" s="155"/>
      <c r="IL98" s="155"/>
      <c r="IM98" s="155"/>
      <c r="IN98" s="155"/>
      <c r="IO98" s="155"/>
      <c r="IP98" s="155"/>
      <c r="IQ98" s="155"/>
      <c r="IR98" s="155"/>
      <c r="IS98" s="155"/>
      <c r="IT98" s="155"/>
      <c r="IU98" s="155"/>
      <c r="IV98" s="155"/>
    </row>
    <row r="99" spans="1:256" ht="15" customHeight="1">
      <c r="A99" s="243" t="s">
        <v>38</v>
      </c>
      <c r="B99" s="244"/>
      <c r="C99" s="227"/>
      <c r="D99" s="151"/>
      <c r="E99" s="228"/>
      <c r="F99" s="83"/>
      <c r="G99" s="83"/>
      <c r="H99" s="83"/>
      <c r="I99" s="83"/>
      <c r="J99" s="83"/>
      <c r="K99" s="83"/>
      <c r="L99" s="83"/>
      <c r="M99" s="83"/>
      <c r="N99" s="83"/>
      <c r="O99" s="83"/>
    </row>
    <row r="100" spans="1:256" ht="15" customHeight="1">
      <c r="A100" s="67" t="s">
        <v>105</v>
      </c>
      <c r="B100" s="71" t="s">
        <v>16</v>
      </c>
      <c r="C100" s="67" t="s">
        <v>49</v>
      </c>
      <c r="D100" s="71" t="s">
        <v>53</v>
      </c>
      <c r="E100" s="70" t="s">
        <v>79</v>
      </c>
      <c r="F100" s="83"/>
      <c r="G100" s="83"/>
      <c r="H100" s="83"/>
      <c r="I100" s="83"/>
      <c r="J100" s="83"/>
      <c r="K100" s="83"/>
      <c r="L100" s="83"/>
      <c r="M100" s="83"/>
      <c r="N100" s="83"/>
      <c r="O100" s="83"/>
    </row>
    <row r="101" spans="1:256" ht="15" customHeight="1" thickBot="1">
      <c r="A101" s="73" t="s">
        <v>40</v>
      </c>
      <c r="B101" s="49" t="s">
        <v>40</v>
      </c>
      <c r="C101" s="49" t="s">
        <v>39</v>
      </c>
      <c r="D101" s="73" t="s">
        <v>41</v>
      </c>
      <c r="E101" s="72" t="s">
        <v>42</v>
      </c>
      <c r="F101" s="83"/>
      <c r="G101" s="83"/>
      <c r="H101" s="83"/>
      <c r="I101" s="83"/>
      <c r="J101" s="83"/>
      <c r="K101" s="83"/>
      <c r="L101" s="83"/>
      <c r="M101" s="83"/>
      <c r="N101" s="83"/>
      <c r="O101" s="83"/>
    </row>
    <row r="102" spans="1:256" ht="15" customHeight="1" thickTop="1" thickBot="1">
      <c r="A102" s="7">
        <f>+C102/(+B102*B102)*(4/0.0031415)</f>
        <v>258.86459987135692</v>
      </c>
      <c r="B102" s="3">
        <v>55</v>
      </c>
      <c r="C102" s="4">
        <f>+E102/D102</f>
        <v>615</v>
      </c>
      <c r="D102" s="5">
        <v>1</v>
      </c>
      <c r="E102" s="6">
        <v>615</v>
      </c>
      <c r="F102" s="83"/>
      <c r="G102" s="83"/>
      <c r="H102" s="83"/>
      <c r="I102" s="83"/>
      <c r="J102" s="83"/>
      <c r="K102" s="83"/>
      <c r="L102" s="83"/>
      <c r="M102" s="83"/>
      <c r="N102" s="83"/>
      <c r="O102" s="83"/>
    </row>
    <row r="103" spans="1:256" ht="15" customHeight="1" thickTop="1" thickBot="1">
      <c r="A103" s="7">
        <f>+C103/(+B103*B103)*(4/0.0031415)</f>
        <v>302.5306382301448</v>
      </c>
      <c r="B103" s="3">
        <v>50</v>
      </c>
      <c r="C103" s="6">
        <v>594</v>
      </c>
      <c r="D103" s="5">
        <v>0.75</v>
      </c>
      <c r="E103" s="9">
        <f>+C103*D103</f>
        <v>445.5</v>
      </c>
      <c r="F103" s="83"/>
      <c r="G103" s="83"/>
      <c r="H103" s="83"/>
      <c r="I103" s="83"/>
      <c r="J103" s="83"/>
      <c r="K103" s="83"/>
      <c r="L103" s="83"/>
      <c r="M103" s="83"/>
      <c r="N103" s="83"/>
      <c r="O103" s="83"/>
    </row>
    <row r="104" spans="1:256" ht="15" customHeight="1" thickTop="1" thickBot="1">
      <c r="A104" s="8">
        <v>79</v>
      </c>
      <c r="B104" s="7">
        <f>((C104*4)/(A104*0.0031415))^0.5</f>
        <v>49.982015756033476</v>
      </c>
      <c r="C104" s="6">
        <v>155</v>
      </c>
      <c r="D104" s="5">
        <v>0.75</v>
      </c>
      <c r="E104" s="9">
        <f>+C104*D104</f>
        <v>116.25</v>
      </c>
      <c r="F104" s="83"/>
      <c r="G104" s="83"/>
      <c r="H104" s="83"/>
      <c r="I104" s="83"/>
      <c r="J104" s="83"/>
      <c r="K104" s="83"/>
      <c r="L104" s="83"/>
      <c r="M104" s="83"/>
      <c r="N104" s="83"/>
      <c r="O104" s="83"/>
    </row>
    <row r="105" spans="1:256" ht="15" customHeight="1" thickTop="1" thickBot="1">
      <c r="A105" s="8">
        <v>79</v>
      </c>
      <c r="B105" s="8">
        <v>50</v>
      </c>
      <c r="C105" s="9">
        <f>+B105*B105*A105*0.0031415/4</f>
        <v>155.11156250000002</v>
      </c>
      <c r="D105" s="5">
        <v>0.75</v>
      </c>
      <c r="E105" s="9">
        <f>+C105*D105</f>
        <v>116.33367187500002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</row>
    <row r="106" spans="1:256" s="156" customFormat="1" ht="15" customHeight="1" thickTop="1">
      <c r="A106" s="107"/>
      <c r="B106" s="107"/>
      <c r="C106" s="97"/>
      <c r="D106" s="98"/>
      <c r="E106" s="97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  <c r="BK106" s="155"/>
      <c r="BL106" s="155"/>
      <c r="BM106" s="155"/>
      <c r="BN106" s="155"/>
      <c r="BO106" s="155"/>
      <c r="BP106" s="155"/>
      <c r="BQ106" s="155"/>
      <c r="BR106" s="155"/>
      <c r="BS106" s="155"/>
      <c r="BT106" s="155"/>
      <c r="BU106" s="155"/>
      <c r="BV106" s="155"/>
      <c r="BW106" s="155"/>
      <c r="BX106" s="155"/>
      <c r="BY106" s="155"/>
      <c r="BZ106" s="155"/>
      <c r="CA106" s="155"/>
      <c r="CB106" s="155"/>
      <c r="CC106" s="155"/>
      <c r="CD106" s="155"/>
      <c r="CE106" s="155"/>
      <c r="CF106" s="155"/>
      <c r="CG106" s="155"/>
      <c r="CH106" s="155"/>
      <c r="CI106" s="155"/>
      <c r="CJ106" s="155"/>
      <c r="CK106" s="155"/>
      <c r="CL106" s="155"/>
      <c r="CM106" s="155"/>
      <c r="CN106" s="155"/>
      <c r="CO106" s="155"/>
      <c r="CP106" s="155"/>
      <c r="CQ106" s="155"/>
      <c r="CR106" s="155"/>
      <c r="CS106" s="155"/>
      <c r="CT106" s="155"/>
      <c r="CU106" s="155"/>
      <c r="CV106" s="155"/>
      <c r="CW106" s="155"/>
      <c r="CX106" s="155"/>
      <c r="CY106" s="155"/>
      <c r="CZ106" s="155"/>
      <c r="DA106" s="155"/>
      <c r="DB106" s="155"/>
      <c r="DC106" s="155"/>
      <c r="DD106" s="155"/>
      <c r="DE106" s="155"/>
      <c r="DF106" s="155"/>
      <c r="DG106" s="155"/>
      <c r="DH106" s="155"/>
      <c r="DI106" s="155"/>
      <c r="DJ106" s="155"/>
      <c r="DK106" s="155"/>
      <c r="DL106" s="155"/>
      <c r="DM106" s="155"/>
      <c r="DN106" s="155"/>
      <c r="DO106" s="155"/>
      <c r="DP106" s="155"/>
      <c r="DQ106" s="155"/>
      <c r="DR106" s="155"/>
      <c r="DS106" s="155"/>
      <c r="DT106" s="155"/>
      <c r="DU106" s="155"/>
      <c r="DV106" s="155"/>
      <c r="DW106" s="155"/>
      <c r="DX106" s="155"/>
      <c r="DY106" s="155"/>
      <c r="DZ106" s="155"/>
      <c r="EA106" s="155"/>
      <c r="EB106" s="155"/>
      <c r="EC106" s="155"/>
      <c r="ED106" s="155"/>
      <c r="EE106" s="155"/>
      <c r="EF106" s="155"/>
      <c r="EG106" s="155"/>
      <c r="EH106" s="155"/>
      <c r="EI106" s="155"/>
      <c r="EJ106" s="155"/>
      <c r="EK106" s="155"/>
      <c r="EL106" s="155"/>
      <c r="EM106" s="155"/>
      <c r="EN106" s="155"/>
      <c r="EO106" s="155"/>
      <c r="EP106" s="155"/>
      <c r="EQ106" s="155"/>
      <c r="ER106" s="155"/>
      <c r="ES106" s="155"/>
      <c r="ET106" s="155"/>
      <c r="EU106" s="155"/>
      <c r="EV106" s="155"/>
      <c r="EW106" s="155"/>
      <c r="EX106" s="155"/>
      <c r="EY106" s="155"/>
      <c r="EZ106" s="155"/>
      <c r="FA106" s="155"/>
      <c r="FB106" s="155"/>
      <c r="FC106" s="155"/>
      <c r="FD106" s="155"/>
      <c r="FE106" s="155"/>
      <c r="FF106" s="155"/>
      <c r="FG106" s="155"/>
      <c r="FH106" s="155"/>
      <c r="FI106" s="155"/>
      <c r="FJ106" s="155"/>
      <c r="FK106" s="155"/>
      <c r="FL106" s="155"/>
      <c r="FM106" s="155"/>
      <c r="FN106" s="155"/>
      <c r="FO106" s="155"/>
      <c r="FP106" s="155"/>
      <c r="FQ106" s="155"/>
      <c r="FR106" s="155"/>
      <c r="FS106" s="155"/>
      <c r="FT106" s="155"/>
      <c r="FU106" s="155"/>
      <c r="FV106" s="155"/>
      <c r="FW106" s="155"/>
      <c r="FX106" s="155"/>
      <c r="FY106" s="155"/>
      <c r="FZ106" s="155"/>
      <c r="GA106" s="155"/>
      <c r="GB106" s="155"/>
      <c r="GC106" s="155"/>
      <c r="GD106" s="155"/>
      <c r="GE106" s="155"/>
      <c r="GF106" s="155"/>
      <c r="GG106" s="155"/>
      <c r="GH106" s="155"/>
      <c r="GI106" s="155"/>
      <c r="GJ106" s="155"/>
      <c r="GK106" s="155"/>
      <c r="GL106" s="155"/>
      <c r="GM106" s="155"/>
      <c r="GN106" s="155"/>
      <c r="GO106" s="155"/>
      <c r="GP106" s="155"/>
      <c r="GQ106" s="155"/>
      <c r="GR106" s="155"/>
      <c r="GS106" s="155"/>
      <c r="GT106" s="155"/>
      <c r="GU106" s="155"/>
      <c r="GV106" s="155"/>
      <c r="GW106" s="155"/>
      <c r="GX106" s="155"/>
      <c r="GY106" s="155"/>
      <c r="GZ106" s="155"/>
      <c r="HA106" s="155"/>
      <c r="HB106" s="155"/>
      <c r="HC106" s="155"/>
      <c r="HD106" s="155"/>
      <c r="HE106" s="155"/>
      <c r="HF106" s="155"/>
      <c r="HG106" s="155"/>
      <c r="HH106" s="155"/>
      <c r="HI106" s="155"/>
      <c r="HJ106" s="155"/>
      <c r="HK106" s="155"/>
      <c r="HL106" s="155"/>
      <c r="HM106" s="155"/>
      <c r="HN106" s="155"/>
      <c r="HO106" s="155"/>
      <c r="HP106" s="155"/>
      <c r="HQ106" s="155"/>
      <c r="HR106" s="155"/>
      <c r="HS106" s="155"/>
      <c r="HT106" s="155"/>
      <c r="HU106" s="155"/>
      <c r="HV106" s="155"/>
      <c r="HW106" s="155"/>
      <c r="HX106" s="155"/>
      <c r="HY106" s="155"/>
      <c r="HZ106" s="155"/>
      <c r="IA106" s="155"/>
      <c r="IB106" s="155"/>
      <c r="IC106" s="155"/>
      <c r="ID106" s="155"/>
      <c r="IE106" s="155"/>
      <c r="IF106" s="155"/>
      <c r="IG106" s="155"/>
      <c r="IH106" s="155"/>
      <c r="II106" s="155"/>
      <c r="IJ106" s="155"/>
      <c r="IK106" s="155"/>
      <c r="IL106" s="155"/>
      <c r="IM106" s="155"/>
      <c r="IN106" s="155"/>
      <c r="IO106" s="155"/>
      <c r="IP106" s="155"/>
      <c r="IQ106" s="155"/>
      <c r="IR106" s="155"/>
      <c r="IS106" s="155"/>
      <c r="IT106" s="155"/>
      <c r="IU106" s="155"/>
      <c r="IV106" s="155"/>
    </row>
    <row r="107" spans="1:256" s="156" customFormat="1" ht="15" customHeight="1">
      <c r="A107" s="245" t="s">
        <v>303</v>
      </c>
      <c r="B107" s="246"/>
      <c r="C107" s="247"/>
      <c r="D107" s="248"/>
      <c r="E107" s="249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BZ107" s="155"/>
      <c r="CA107" s="155"/>
      <c r="CB107" s="155"/>
      <c r="CC107" s="155"/>
      <c r="CD107" s="155"/>
      <c r="CE107" s="155"/>
      <c r="CF107" s="155"/>
      <c r="CG107" s="155"/>
      <c r="CH107" s="155"/>
      <c r="CI107" s="155"/>
      <c r="CJ107" s="155"/>
      <c r="CK107" s="155"/>
      <c r="CL107" s="155"/>
      <c r="CM107" s="155"/>
      <c r="CN107" s="155"/>
      <c r="CO107" s="155"/>
      <c r="CP107" s="155"/>
      <c r="CQ107" s="155"/>
      <c r="CR107" s="155"/>
      <c r="CS107" s="155"/>
      <c r="CT107" s="155"/>
      <c r="CU107" s="155"/>
      <c r="CV107" s="155"/>
      <c r="CW107" s="155"/>
      <c r="CX107" s="155"/>
      <c r="CY107" s="155"/>
      <c r="CZ107" s="155"/>
      <c r="DA107" s="155"/>
      <c r="DB107" s="155"/>
      <c r="DC107" s="155"/>
      <c r="DD107" s="155"/>
      <c r="DE107" s="155"/>
      <c r="DF107" s="155"/>
      <c r="DG107" s="155"/>
      <c r="DH107" s="155"/>
      <c r="DI107" s="155"/>
      <c r="DJ107" s="155"/>
      <c r="DK107" s="155"/>
      <c r="DL107" s="155"/>
      <c r="DM107" s="155"/>
      <c r="DN107" s="155"/>
      <c r="DO107" s="155"/>
      <c r="DP107" s="155"/>
      <c r="DQ107" s="155"/>
      <c r="DR107" s="155"/>
      <c r="DS107" s="155"/>
      <c r="DT107" s="155"/>
      <c r="DU107" s="155"/>
      <c r="DV107" s="155"/>
      <c r="DW107" s="155"/>
      <c r="DX107" s="155"/>
      <c r="DY107" s="155"/>
      <c r="DZ107" s="155"/>
      <c r="EA107" s="155"/>
      <c r="EB107" s="155"/>
      <c r="EC107" s="155"/>
      <c r="ED107" s="155"/>
      <c r="EE107" s="155"/>
      <c r="EF107" s="155"/>
      <c r="EG107" s="155"/>
      <c r="EH107" s="155"/>
      <c r="EI107" s="155"/>
      <c r="EJ107" s="155"/>
      <c r="EK107" s="155"/>
      <c r="EL107" s="155"/>
      <c r="EM107" s="155"/>
      <c r="EN107" s="155"/>
      <c r="EO107" s="155"/>
      <c r="EP107" s="155"/>
      <c r="EQ107" s="155"/>
      <c r="ER107" s="155"/>
      <c r="ES107" s="155"/>
      <c r="ET107" s="155"/>
      <c r="EU107" s="155"/>
      <c r="EV107" s="155"/>
      <c r="EW107" s="155"/>
      <c r="EX107" s="155"/>
      <c r="EY107" s="155"/>
      <c r="EZ107" s="155"/>
      <c r="FA107" s="155"/>
      <c r="FB107" s="155"/>
      <c r="FC107" s="155"/>
      <c r="FD107" s="155"/>
      <c r="FE107" s="155"/>
      <c r="FF107" s="155"/>
      <c r="FG107" s="155"/>
      <c r="FH107" s="155"/>
      <c r="FI107" s="155"/>
      <c r="FJ107" s="155"/>
      <c r="FK107" s="155"/>
      <c r="FL107" s="155"/>
      <c r="FM107" s="155"/>
      <c r="FN107" s="155"/>
      <c r="FO107" s="155"/>
      <c r="FP107" s="155"/>
      <c r="FQ107" s="155"/>
      <c r="FR107" s="155"/>
      <c r="FS107" s="155"/>
      <c r="FT107" s="155"/>
      <c r="FU107" s="155"/>
      <c r="FV107" s="155"/>
      <c r="FW107" s="155"/>
      <c r="FX107" s="155"/>
      <c r="FY107" s="155"/>
      <c r="FZ107" s="155"/>
      <c r="GA107" s="155"/>
      <c r="GB107" s="155"/>
      <c r="GC107" s="155"/>
      <c r="GD107" s="155"/>
      <c r="GE107" s="155"/>
      <c r="GF107" s="155"/>
      <c r="GG107" s="155"/>
      <c r="GH107" s="155"/>
      <c r="GI107" s="155"/>
      <c r="GJ107" s="155"/>
      <c r="GK107" s="155"/>
      <c r="GL107" s="155"/>
      <c r="GM107" s="155"/>
      <c r="GN107" s="155"/>
      <c r="GO107" s="155"/>
      <c r="GP107" s="155"/>
      <c r="GQ107" s="155"/>
      <c r="GR107" s="155"/>
      <c r="GS107" s="155"/>
      <c r="GT107" s="155"/>
      <c r="GU107" s="155"/>
      <c r="GV107" s="155"/>
      <c r="GW107" s="155"/>
      <c r="GX107" s="155"/>
      <c r="GY107" s="155"/>
      <c r="GZ107" s="155"/>
      <c r="HA107" s="155"/>
      <c r="HB107" s="155"/>
      <c r="HC107" s="155"/>
      <c r="HD107" s="155"/>
      <c r="HE107" s="155"/>
      <c r="HF107" s="155"/>
      <c r="HG107" s="155"/>
      <c r="HH107" s="155"/>
      <c r="HI107" s="155"/>
      <c r="HJ107" s="155"/>
      <c r="HK107" s="155"/>
      <c r="HL107" s="155"/>
      <c r="HM107" s="155"/>
      <c r="HN107" s="155"/>
      <c r="HO107" s="155"/>
      <c r="HP107" s="155"/>
      <c r="HQ107" s="155"/>
      <c r="HR107" s="155"/>
      <c r="HS107" s="155"/>
      <c r="HT107" s="155"/>
      <c r="HU107" s="155"/>
      <c r="HV107" s="155"/>
      <c r="HW107" s="155"/>
      <c r="HX107" s="155"/>
      <c r="HY107" s="155"/>
      <c r="HZ107" s="155"/>
      <c r="IA107" s="155"/>
      <c r="IB107" s="155"/>
      <c r="IC107" s="155"/>
      <c r="ID107" s="155"/>
      <c r="IE107" s="155"/>
      <c r="IF107" s="155"/>
      <c r="IG107" s="155"/>
      <c r="IH107" s="155"/>
      <c r="II107" s="155"/>
      <c r="IJ107" s="155"/>
      <c r="IK107" s="155"/>
      <c r="IL107" s="155"/>
      <c r="IM107" s="155"/>
      <c r="IN107" s="155"/>
      <c r="IO107" s="155"/>
      <c r="IP107" s="155"/>
      <c r="IQ107" s="155"/>
      <c r="IR107" s="155"/>
      <c r="IS107" s="155"/>
      <c r="IT107" s="155"/>
      <c r="IU107" s="155"/>
      <c r="IV107" s="155"/>
    </row>
    <row r="108" spans="1:256" s="156" customFormat="1" ht="15" customHeight="1">
      <c r="A108" s="71" t="s">
        <v>16</v>
      </c>
      <c r="B108" s="67" t="s">
        <v>300</v>
      </c>
      <c r="C108" s="67" t="s">
        <v>298</v>
      </c>
      <c r="D108" s="67" t="s">
        <v>301</v>
      </c>
      <c r="E108" s="67" t="s">
        <v>298</v>
      </c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  <c r="BM108" s="155"/>
      <c r="BN108" s="155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BZ108" s="155"/>
      <c r="CA108" s="155"/>
      <c r="CB108" s="155"/>
      <c r="CC108" s="155"/>
      <c r="CD108" s="155"/>
      <c r="CE108" s="155"/>
      <c r="CF108" s="155"/>
      <c r="CG108" s="155"/>
      <c r="CH108" s="155"/>
      <c r="CI108" s="155"/>
      <c r="CJ108" s="155"/>
      <c r="CK108" s="155"/>
      <c r="CL108" s="155"/>
      <c r="CM108" s="155"/>
      <c r="CN108" s="155"/>
      <c r="CO108" s="155"/>
      <c r="CP108" s="155"/>
      <c r="CQ108" s="155"/>
      <c r="CR108" s="155"/>
      <c r="CS108" s="155"/>
      <c r="CT108" s="155"/>
      <c r="CU108" s="155"/>
      <c r="CV108" s="155"/>
      <c r="CW108" s="155"/>
      <c r="CX108" s="155"/>
      <c r="CY108" s="155"/>
      <c r="CZ108" s="155"/>
      <c r="DA108" s="155"/>
      <c r="DB108" s="155"/>
      <c r="DC108" s="155"/>
      <c r="DD108" s="155"/>
      <c r="DE108" s="155"/>
      <c r="DF108" s="155"/>
      <c r="DG108" s="155"/>
      <c r="DH108" s="155"/>
      <c r="DI108" s="155"/>
      <c r="DJ108" s="155"/>
      <c r="DK108" s="155"/>
      <c r="DL108" s="155"/>
      <c r="DM108" s="155"/>
      <c r="DN108" s="155"/>
      <c r="DO108" s="155"/>
      <c r="DP108" s="155"/>
      <c r="DQ108" s="155"/>
      <c r="DR108" s="155"/>
      <c r="DS108" s="155"/>
      <c r="DT108" s="155"/>
      <c r="DU108" s="155"/>
      <c r="DV108" s="155"/>
      <c r="DW108" s="155"/>
      <c r="DX108" s="155"/>
      <c r="DY108" s="155"/>
      <c r="DZ108" s="155"/>
      <c r="EA108" s="155"/>
      <c r="EB108" s="155"/>
      <c r="EC108" s="155"/>
      <c r="ED108" s="155"/>
      <c r="EE108" s="155"/>
      <c r="EF108" s="155"/>
      <c r="EG108" s="155"/>
      <c r="EH108" s="155"/>
      <c r="EI108" s="155"/>
      <c r="EJ108" s="155"/>
      <c r="EK108" s="155"/>
      <c r="EL108" s="155"/>
      <c r="EM108" s="155"/>
      <c r="EN108" s="155"/>
      <c r="EO108" s="155"/>
      <c r="EP108" s="155"/>
      <c r="EQ108" s="155"/>
      <c r="ER108" s="155"/>
      <c r="ES108" s="155"/>
      <c r="ET108" s="155"/>
      <c r="EU108" s="155"/>
      <c r="EV108" s="155"/>
      <c r="EW108" s="155"/>
      <c r="EX108" s="155"/>
      <c r="EY108" s="155"/>
      <c r="EZ108" s="155"/>
      <c r="FA108" s="155"/>
      <c r="FB108" s="155"/>
      <c r="FC108" s="155"/>
      <c r="FD108" s="155"/>
      <c r="FE108" s="155"/>
      <c r="FF108" s="155"/>
      <c r="FG108" s="155"/>
      <c r="FH108" s="155"/>
      <c r="FI108" s="155"/>
      <c r="FJ108" s="155"/>
      <c r="FK108" s="155"/>
      <c r="FL108" s="155"/>
      <c r="FM108" s="155"/>
      <c r="FN108" s="155"/>
      <c r="FO108" s="155"/>
      <c r="FP108" s="155"/>
      <c r="FQ108" s="155"/>
      <c r="FR108" s="155"/>
      <c r="FS108" s="155"/>
      <c r="FT108" s="155"/>
      <c r="FU108" s="155"/>
      <c r="FV108" s="155"/>
      <c r="FW108" s="155"/>
      <c r="FX108" s="155"/>
      <c r="FY108" s="155"/>
      <c r="FZ108" s="155"/>
      <c r="GA108" s="155"/>
      <c r="GB108" s="155"/>
      <c r="GC108" s="155"/>
      <c r="GD108" s="155"/>
      <c r="GE108" s="155"/>
      <c r="GF108" s="155"/>
      <c r="GG108" s="155"/>
      <c r="GH108" s="155"/>
      <c r="GI108" s="155"/>
      <c r="GJ108" s="155"/>
      <c r="GK108" s="155"/>
      <c r="GL108" s="155"/>
      <c r="GM108" s="155"/>
      <c r="GN108" s="155"/>
      <c r="GO108" s="155"/>
      <c r="GP108" s="155"/>
      <c r="GQ108" s="155"/>
      <c r="GR108" s="155"/>
      <c r="GS108" s="155"/>
      <c r="GT108" s="155"/>
      <c r="GU108" s="155"/>
      <c r="GV108" s="155"/>
      <c r="GW108" s="155"/>
      <c r="GX108" s="155"/>
      <c r="GY108" s="155"/>
      <c r="GZ108" s="155"/>
      <c r="HA108" s="155"/>
      <c r="HB108" s="155"/>
      <c r="HC108" s="155"/>
      <c r="HD108" s="155"/>
      <c r="HE108" s="155"/>
      <c r="HF108" s="155"/>
      <c r="HG108" s="155"/>
      <c r="HH108" s="155"/>
      <c r="HI108" s="155"/>
      <c r="HJ108" s="155"/>
      <c r="HK108" s="155"/>
      <c r="HL108" s="155"/>
      <c r="HM108" s="155"/>
      <c r="HN108" s="155"/>
      <c r="HO108" s="155"/>
      <c r="HP108" s="155"/>
      <c r="HQ108" s="155"/>
      <c r="HR108" s="155"/>
      <c r="HS108" s="155"/>
      <c r="HT108" s="155"/>
      <c r="HU108" s="155"/>
      <c r="HV108" s="155"/>
      <c r="HW108" s="155"/>
      <c r="HX108" s="155"/>
      <c r="HY108" s="155"/>
      <c r="HZ108" s="155"/>
      <c r="IA108" s="155"/>
      <c r="IB108" s="155"/>
      <c r="IC108" s="155"/>
      <c r="ID108" s="155"/>
      <c r="IE108" s="155"/>
      <c r="IF108" s="155"/>
      <c r="IG108" s="155"/>
      <c r="IH108" s="155"/>
      <c r="II108" s="155"/>
      <c r="IJ108" s="155"/>
      <c r="IK108" s="155"/>
      <c r="IL108" s="155"/>
      <c r="IM108" s="155"/>
      <c r="IN108" s="155"/>
      <c r="IO108" s="155"/>
      <c r="IP108" s="155"/>
      <c r="IQ108" s="155"/>
      <c r="IR108" s="155"/>
      <c r="IS108" s="155"/>
      <c r="IT108" s="155"/>
      <c r="IU108" s="155"/>
      <c r="IV108" s="155"/>
    </row>
    <row r="109" spans="1:256" s="156" customFormat="1" ht="15" customHeight="1" thickBot="1">
      <c r="A109" s="49" t="s">
        <v>40</v>
      </c>
      <c r="B109" s="49" t="s">
        <v>39</v>
      </c>
      <c r="C109" s="146" t="s">
        <v>299</v>
      </c>
      <c r="D109" s="73" t="s">
        <v>40</v>
      </c>
      <c r="E109" s="146" t="s">
        <v>44</v>
      </c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5"/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5"/>
      <c r="CJ109" s="155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5"/>
      <c r="DE109" s="155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5"/>
      <c r="DZ109" s="155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5"/>
      <c r="EU109" s="155"/>
      <c r="EV109" s="155"/>
      <c r="EW109" s="155"/>
      <c r="EX109" s="155"/>
      <c r="EY109" s="155"/>
      <c r="EZ109" s="155"/>
      <c r="FA109" s="155"/>
      <c r="FB109" s="155"/>
      <c r="FC109" s="155"/>
      <c r="FD109" s="155"/>
      <c r="FE109" s="155"/>
      <c r="FF109" s="155"/>
      <c r="FG109" s="155"/>
      <c r="FH109" s="155"/>
      <c r="FI109" s="155"/>
      <c r="FJ109" s="155"/>
      <c r="FK109" s="155"/>
      <c r="FL109" s="155"/>
      <c r="FM109" s="155"/>
      <c r="FN109" s="155"/>
      <c r="FO109" s="155"/>
      <c r="FP109" s="155"/>
      <c r="FQ109" s="155"/>
      <c r="FR109" s="155"/>
      <c r="FS109" s="155"/>
      <c r="FT109" s="155"/>
      <c r="FU109" s="155"/>
      <c r="FV109" s="155"/>
      <c r="FW109" s="155"/>
      <c r="FX109" s="155"/>
      <c r="FY109" s="155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5"/>
      <c r="GM109" s="155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5"/>
      <c r="HG109" s="155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5"/>
      <c r="IE109" s="155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5"/>
    </row>
    <row r="110" spans="1:256" s="156" customFormat="1" ht="15" customHeight="1" thickTop="1" thickBot="1">
      <c r="A110" s="3">
        <v>55</v>
      </c>
      <c r="B110" s="3">
        <v>615</v>
      </c>
      <c r="C110" s="3">
        <v>830</v>
      </c>
      <c r="D110" s="7">
        <f>B110/(+A110*A110)*(4/0.0031415)</f>
        <v>258.86459987135692</v>
      </c>
      <c r="E110" s="7">
        <f>C110/(+A110*A110)*(4/0.0031415)</f>
        <v>349.361980314189</v>
      </c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5"/>
      <c r="BO110" s="155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5"/>
      <c r="CJ110" s="155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5"/>
      <c r="DE110" s="155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5"/>
      <c r="DZ110" s="155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5"/>
      <c r="EU110" s="155"/>
      <c r="EV110" s="155"/>
      <c r="EW110" s="155"/>
      <c r="EX110" s="155"/>
      <c r="EY110" s="155"/>
      <c r="EZ110" s="155"/>
      <c r="FA110" s="155"/>
      <c r="FB110" s="155"/>
      <c r="FC110" s="155"/>
      <c r="FD110" s="155"/>
      <c r="FE110" s="155"/>
      <c r="FF110" s="155"/>
      <c r="FG110" s="155"/>
      <c r="FH110" s="155"/>
      <c r="FI110" s="155"/>
      <c r="FJ110" s="155"/>
      <c r="FK110" s="155"/>
      <c r="FL110" s="155"/>
      <c r="FM110" s="155"/>
      <c r="FN110" s="155"/>
      <c r="FO110" s="155"/>
      <c r="FP110" s="155"/>
      <c r="FQ110" s="155"/>
      <c r="FR110" s="155"/>
      <c r="FS110" s="155"/>
      <c r="FT110" s="155"/>
      <c r="FU110" s="155"/>
      <c r="FV110" s="155"/>
      <c r="FW110" s="155"/>
      <c r="FX110" s="155"/>
      <c r="FY110" s="155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5"/>
      <c r="GM110" s="155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5"/>
      <c r="HG110" s="155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5"/>
      <c r="IE110" s="155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5"/>
    </row>
    <row r="111" spans="1:256" s="156" customFormat="1" ht="15" customHeight="1" thickTop="1" thickBot="1">
      <c r="A111" s="3">
        <v>55</v>
      </c>
      <c r="B111" s="3">
        <v>615</v>
      </c>
      <c r="C111" s="3">
        <v>2500</v>
      </c>
      <c r="D111" s="7">
        <f>B111/(+A111*A111)*(4/0.0031415)</f>
        <v>258.86459987135692</v>
      </c>
      <c r="E111" s="7">
        <f>C111/(+A111*A111)*(4/0.0031415)</f>
        <v>1052.2951214282803</v>
      </c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5"/>
      <c r="BO111" s="155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5"/>
      <c r="CJ111" s="155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5"/>
      <c r="DE111" s="155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5"/>
      <c r="DZ111" s="155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5"/>
      <c r="EU111" s="155"/>
      <c r="EV111" s="155"/>
      <c r="EW111" s="155"/>
      <c r="EX111" s="155"/>
      <c r="EY111" s="155"/>
      <c r="EZ111" s="155"/>
      <c r="FA111" s="155"/>
      <c r="FB111" s="155"/>
      <c r="FC111" s="155"/>
      <c r="FD111" s="155"/>
      <c r="FE111" s="155"/>
      <c r="FF111" s="155"/>
      <c r="FG111" s="155"/>
      <c r="FH111" s="155"/>
      <c r="FI111" s="155"/>
      <c r="FJ111" s="155"/>
      <c r="FK111" s="155"/>
      <c r="FL111" s="155"/>
      <c r="FM111" s="155"/>
      <c r="FN111" s="155"/>
      <c r="FO111" s="155"/>
      <c r="FP111" s="155"/>
      <c r="FQ111" s="155"/>
      <c r="FR111" s="155"/>
      <c r="FS111" s="155"/>
      <c r="FT111" s="155"/>
      <c r="FU111" s="155"/>
      <c r="FV111" s="155"/>
      <c r="FW111" s="155"/>
      <c r="FX111" s="155"/>
      <c r="FY111" s="155"/>
      <c r="FZ111" s="155"/>
      <c r="GA111" s="155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5"/>
      <c r="GM111" s="155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/>
      <c r="GX111" s="155"/>
      <c r="GY111" s="155"/>
      <c r="GZ111" s="155"/>
      <c r="HA111" s="155"/>
      <c r="HB111" s="155"/>
      <c r="HC111" s="155"/>
      <c r="HD111" s="155"/>
      <c r="HE111" s="155"/>
      <c r="HF111" s="155"/>
      <c r="HG111" s="155"/>
      <c r="HH111" s="155"/>
      <c r="HI111" s="155"/>
      <c r="HJ111" s="155"/>
      <c r="HK111" s="155"/>
      <c r="HL111" s="155"/>
      <c r="HM111" s="155"/>
      <c r="HN111" s="155"/>
      <c r="HO111" s="155"/>
      <c r="HP111" s="155"/>
      <c r="HQ111" s="155"/>
      <c r="HR111" s="155"/>
      <c r="HS111" s="155"/>
      <c r="HT111" s="155"/>
      <c r="HU111" s="155"/>
      <c r="HV111" s="155"/>
      <c r="HW111" s="155"/>
      <c r="HX111" s="155"/>
      <c r="HY111" s="155"/>
      <c r="HZ111" s="155"/>
      <c r="IA111" s="155"/>
      <c r="IB111" s="155"/>
      <c r="IC111" s="155"/>
      <c r="ID111" s="155"/>
      <c r="IE111" s="155"/>
      <c r="IF111" s="155"/>
      <c r="IG111" s="155"/>
      <c r="IH111" s="155"/>
      <c r="II111" s="155"/>
      <c r="IJ111" s="155"/>
      <c r="IK111" s="155"/>
      <c r="IL111" s="155"/>
      <c r="IM111" s="155"/>
      <c r="IN111" s="155"/>
      <c r="IO111" s="155"/>
      <c r="IP111" s="155"/>
      <c r="IQ111" s="155"/>
      <c r="IR111" s="155"/>
      <c r="IS111" s="155"/>
      <c r="IT111" s="155"/>
      <c r="IU111" s="155"/>
      <c r="IV111" s="155"/>
    </row>
    <row r="112" spans="1:256" s="156" customFormat="1" ht="15" customHeight="1" thickTop="1">
      <c r="A112" s="107"/>
      <c r="B112" s="107"/>
      <c r="C112" s="97"/>
      <c r="D112" s="98"/>
      <c r="E112" s="97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5"/>
      <c r="CA112" s="155"/>
      <c r="CB112" s="155"/>
      <c r="CC112" s="155"/>
      <c r="CD112" s="155"/>
      <c r="CE112" s="155"/>
      <c r="CF112" s="155"/>
      <c r="CG112" s="155"/>
      <c r="CH112" s="155"/>
      <c r="CI112" s="155"/>
      <c r="CJ112" s="155"/>
      <c r="CK112" s="155"/>
      <c r="CL112" s="155"/>
      <c r="CM112" s="155"/>
      <c r="CN112" s="155"/>
      <c r="CO112" s="155"/>
      <c r="CP112" s="155"/>
      <c r="CQ112" s="155"/>
      <c r="CR112" s="155"/>
      <c r="CS112" s="155"/>
      <c r="CT112" s="155"/>
      <c r="CU112" s="155"/>
      <c r="CV112" s="155"/>
      <c r="CW112" s="155"/>
      <c r="CX112" s="155"/>
      <c r="CY112" s="155"/>
      <c r="CZ112" s="155"/>
      <c r="DA112" s="155"/>
      <c r="DB112" s="155"/>
      <c r="DC112" s="155"/>
      <c r="DD112" s="155"/>
      <c r="DE112" s="155"/>
      <c r="DF112" s="155"/>
      <c r="DG112" s="155"/>
      <c r="DH112" s="155"/>
      <c r="DI112" s="155"/>
      <c r="DJ112" s="155"/>
      <c r="DK112" s="155"/>
      <c r="DL112" s="155"/>
      <c r="DM112" s="155"/>
      <c r="DN112" s="155"/>
      <c r="DO112" s="155"/>
      <c r="DP112" s="155"/>
      <c r="DQ112" s="155"/>
      <c r="DR112" s="155"/>
      <c r="DS112" s="155"/>
      <c r="DT112" s="155"/>
      <c r="DU112" s="155"/>
      <c r="DV112" s="155"/>
      <c r="DW112" s="155"/>
      <c r="DX112" s="155"/>
      <c r="DY112" s="155"/>
      <c r="DZ112" s="155"/>
      <c r="EA112" s="155"/>
      <c r="EB112" s="155"/>
      <c r="EC112" s="155"/>
      <c r="ED112" s="155"/>
      <c r="EE112" s="155"/>
      <c r="EF112" s="155"/>
      <c r="EG112" s="155"/>
      <c r="EH112" s="155"/>
      <c r="EI112" s="155"/>
      <c r="EJ112" s="155"/>
      <c r="EK112" s="155"/>
      <c r="EL112" s="155"/>
      <c r="EM112" s="155"/>
      <c r="EN112" s="155"/>
      <c r="EO112" s="155"/>
      <c r="EP112" s="155"/>
      <c r="EQ112" s="155"/>
      <c r="ER112" s="155"/>
      <c r="ES112" s="155"/>
      <c r="ET112" s="155"/>
      <c r="EU112" s="155"/>
      <c r="EV112" s="155"/>
      <c r="EW112" s="155"/>
      <c r="EX112" s="155"/>
      <c r="EY112" s="155"/>
      <c r="EZ112" s="155"/>
      <c r="FA112" s="155"/>
      <c r="FB112" s="155"/>
      <c r="FC112" s="155"/>
      <c r="FD112" s="155"/>
      <c r="FE112" s="155"/>
      <c r="FF112" s="155"/>
      <c r="FG112" s="155"/>
      <c r="FH112" s="155"/>
      <c r="FI112" s="155"/>
      <c r="FJ112" s="155"/>
      <c r="FK112" s="155"/>
      <c r="FL112" s="155"/>
      <c r="FM112" s="155"/>
      <c r="FN112" s="155"/>
      <c r="FO112" s="155"/>
      <c r="FP112" s="155"/>
      <c r="FQ112" s="155"/>
      <c r="FR112" s="155"/>
      <c r="FS112" s="155"/>
      <c r="FT112" s="155"/>
      <c r="FU112" s="155"/>
      <c r="FV112" s="155"/>
      <c r="FW112" s="155"/>
      <c r="FX112" s="155"/>
      <c r="FY112" s="155"/>
      <c r="FZ112" s="155"/>
      <c r="GA112" s="155"/>
      <c r="GB112" s="155"/>
      <c r="GC112" s="155"/>
      <c r="GD112" s="155"/>
      <c r="GE112" s="155"/>
      <c r="GF112" s="155"/>
      <c r="GG112" s="155"/>
      <c r="GH112" s="155"/>
      <c r="GI112" s="155"/>
      <c r="GJ112" s="155"/>
      <c r="GK112" s="155"/>
      <c r="GL112" s="155"/>
      <c r="GM112" s="155"/>
      <c r="GN112" s="155"/>
      <c r="GO112" s="155"/>
      <c r="GP112" s="155"/>
      <c r="GQ112" s="155"/>
      <c r="GR112" s="155"/>
      <c r="GS112" s="155"/>
      <c r="GT112" s="155"/>
      <c r="GU112" s="155"/>
      <c r="GV112" s="155"/>
      <c r="GW112" s="155"/>
      <c r="GX112" s="155"/>
      <c r="GY112" s="155"/>
      <c r="GZ112" s="155"/>
      <c r="HA112" s="155"/>
      <c r="HB112" s="155"/>
      <c r="HC112" s="155"/>
      <c r="HD112" s="155"/>
      <c r="HE112" s="155"/>
      <c r="HF112" s="155"/>
      <c r="HG112" s="155"/>
      <c r="HH112" s="155"/>
      <c r="HI112" s="155"/>
      <c r="HJ112" s="155"/>
      <c r="HK112" s="155"/>
      <c r="HL112" s="155"/>
      <c r="HM112" s="155"/>
      <c r="HN112" s="155"/>
      <c r="HO112" s="155"/>
      <c r="HP112" s="155"/>
      <c r="HQ112" s="155"/>
      <c r="HR112" s="155"/>
      <c r="HS112" s="155"/>
      <c r="HT112" s="155"/>
      <c r="HU112" s="155"/>
      <c r="HV112" s="155"/>
      <c r="HW112" s="155"/>
      <c r="HX112" s="155"/>
      <c r="HY112" s="155"/>
      <c r="HZ112" s="155"/>
      <c r="IA112" s="155"/>
      <c r="IB112" s="155"/>
      <c r="IC112" s="155"/>
      <c r="ID112" s="155"/>
      <c r="IE112" s="155"/>
      <c r="IF112" s="155"/>
      <c r="IG112" s="155"/>
      <c r="IH112" s="155"/>
      <c r="II112" s="155"/>
      <c r="IJ112" s="155"/>
      <c r="IK112" s="155"/>
      <c r="IL112" s="155"/>
      <c r="IM112" s="155"/>
      <c r="IN112" s="155"/>
      <c r="IO112" s="155"/>
      <c r="IP112" s="155"/>
      <c r="IQ112" s="155"/>
      <c r="IR112" s="155"/>
      <c r="IS112" s="155"/>
      <c r="IT112" s="155"/>
      <c r="IU112" s="155"/>
      <c r="IV112" s="155"/>
    </row>
    <row r="113" spans="1:256" ht="15" customHeight="1">
      <c r="A113" s="245" t="s">
        <v>302</v>
      </c>
      <c r="B113" s="246"/>
      <c r="C113" s="247"/>
      <c r="D113" s="248"/>
      <c r="E113" s="247"/>
      <c r="F113" s="151"/>
      <c r="G113" s="151"/>
      <c r="H113" s="151"/>
      <c r="I113" s="228"/>
      <c r="J113" s="83"/>
      <c r="K113" s="83"/>
      <c r="L113" s="83"/>
      <c r="M113" s="83"/>
      <c r="N113" s="83"/>
      <c r="O113" s="83"/>
    </row>
    <row r="114" spans="1:256" ht="15" customHeight="1">
      <c r="A114" s="250" t="s">
        <v>159</v>
      </c>
      <c r="B114" s="70" t="s">
        <v>79</v>
      </c>
      <c r="C114" s="71" t="s">
        <v>53</v>
      </c>
      <c r="D114" s="67" t="s">
        <v>49</v>
      </c>
      <c r="E114" s="71" t="s">
        <v>16</v>
      </c>
      <c r="F114" s="67" t="s">
        <v>105</v>
      </c>
      <c r="G114" s="67" t="s">
        <v>106</v>
      </c>
      <c r="H114" s="67" t="s">
        <v>106</v>
      </c>
      <c r="I114" s="67" t="s">
        <v>106</v>
      </c>
      <c r="J114" s="83"/>
      <c r="K114" s="83"/>
      <c r="L114" s="83"/>
      <c r="M114" s="83"/>
      <c r="N114" s="83"/>
      <c r="O114" s="83"/>
    </row>
    <row r="115" spans="1:256" ht="15" customHeight="1" thickBot="1">
      <c r="A115" s="72" t="s">
        <v>43</v>
      </c>
      <c r="B115" s="72" t="s">
        <v>42</v>
      </c>
      <c r="C115" s="73" t="s">
        <v>41</v>
      </c>
      <c r="D115" s="49" t="s">
        <v>39</v>
      </c>
      <c r="E115" s="49" t="s">
        <v>40</v>
      </c>
      <c r="F115" s="73" t="s">
        <v>40</v>
      </c>
      <c r="G115" s="146" t="s">
        <v>13</v>
      </c>
      <c r="H115" s="146" t="s">
        <v>299</v>
      </c>
      <c r="I115" s="73" t="s">
        <v>44</v>
      </c>
      <c r="J115" s="83"/>
      <c r="K115" s="83"/>
      <c r="L115" s="83"/>
      <c r="M115" s="83"/>
      <c r="N115" s="83"/>
      <c r="O115" s="83"/>
    </row>
    <row r="116" spans="1:256" ht="15" customHeight="1" thickTop="1" thickBot="1">
      <c r="A116" s="251">
        <v>0.5</v>
      </c>
      <c r="B116" s="3">
        <v>120</v>
      </c>
      <c r="C116" s="3">
        <v>0.73</v>
      </c>
      <c r="D116" s="10">
        <f>+B116/C116</f>
        <v>164.38356164383563</v>
      </c>
      <c r="E116" s="3">
        <v>55</v>
      </c>
      <c r="F116" s="7">
        <f>+D116/(+E116*E116)*(4/0.0031415)</f>
        <v>69.192007984325272</v>
      </c>
      <c r="G116" s="7">
        <f>+B116/A116</f>
        <v>240</v>
      </c>
      <c r="H116" s="7">
        <f>+D116/A116</f>
        <v>328.76712328767127</v>
      </c>
      <c r="I116" s="9">
        <f>+F116/A116</f>
        <v>138.38401596865054</v>
      </c>
      <c r="J116" s="83"/>
      <c r="K116" s="83"/>
      <c r="L116" s="83"/>
      <c r="M116" s="83"/>
      <c r="N116" s="83"/>
      <c r="O116" s="83"/>
    </row>
    <row r="117" spans="1:256" ht="15" customHeight="1" thickTop="1" thickBot="1">
      <c r="A117" s="252">
        <f>+B117/G117</f>
        <v>0.5</v>
      </c>
      <c r="B117" s="3">
        <v>120</v>
      </c>
      <c r="C117" s="3">
        <v>0.73</v>
      </c>
      <c r="D117" s="10">
        <f t="shared" ref="D117:D118" si="1">+B117/C117</f>
        <v>164.38356164383563</v>
      </c>
      <c r="E117" s="3">
        <v>55</v>
      </c>
      <c r="F117" s="7">
        <f t="shared" ref="F117:F118" si="2">+D117/(+E117*E117)*(4/0.0031415)</f>
        <v>69.192007984325272</v>
      </c>
      <c r="G117" s="3">
        <v>240</v>
      </c>
      <c r="H117" s="7">
        <f t="shared" ref="H117" si="3">+D117/A117</f>
        <v>328.76712328767127</v>
      </c>
      <c r="I117" s="9">
        <f t="shared" ref="I117:I118" si="4">+F117/A117</f>
        <v>138.38401596865054</v>
      </c>
      <c r="J117" s="83"/>
      <c r="K117" s="83"/>
      <c r="L117" s="83"/>
      <c r="M117" s="83"/>
      <c r="N117" s="83"/>
      <c r="O117" s="83"/>
    </row>
    <row r="118" spans="1:256" ht="15" customHeight="1" thickTop="1" thickBot="1">
      <c r="A118" s="252">
        <f>+D118/H118</f>
        <v>0.49964608402381649</v>
      </c>
      <c r="B118" s="3">
        <v>120</v>
      </c>
      <c r="C118" s="3">
        <v>0.73</v>
      </c>
      <c r="D118" s="10">
        <f t="shared" si="1"/>
        <v>164.38356164383563</v>
      </c>
      <c r="E118" s="3">
        <v>55</v>
      </c>
      <c r="F118" s="7">
        <f t="shared" si="2"/>
        <v>69.192007984325272</v>
      </c>
      <c r="G118" s="7">
        <f t="shared" ref="G118" si="5">+B118/A118</f>
        <v>240.17</v>
      </c>
      <c r="H118" s="3">
        <v>329</v>
      </c>
      <c r="I118" s="9">
        <f t="shared" si="4"/>
        <v>138.48203797996166</v>
      </c>
      <c r="J118" s="83"/>
      <c r="K118" s="83"/>
      <c r="L118" s="83"/>
      <c r="M118" s="83"/>
      <c r="N118" s="83"/>
      <c r="O118" s="83"/>
    </row>
    <row r="119" spans="1:256" ht="15" customHeight="1" thickTop="1" thickBot="1">
      <c r="A119" s="252">
        <f>+F119/I119</f>
        <v>0.49994225422200339</v>
      </c>
      <c r="B119" s="3">
        <v>120</v>
      </c>
      <c r="C119" s="3">
        <v>0.73</v>
      </c>
      <c r="D119" s="10">
        <f>+B119/C119</f>
        <v>164.38356164383563</v>
      </c>
      <c r="E119" s="3">
        <v>55</v>
      </c>
      <c r="F119" s="7">
        <f>+D119/(+E119*E119)*(4/0.0031415)</f>
        <v>69.192007984325272</v>
      </c>
      <c r="G119" s="7">
        <f>+B119/A119</f>
        <v>240.02772117500001</v>
      </c>
      <c r="H119" s="7">
        <f>+D119/A119</f>
        <v>328.80509750000004</v>
      </c>
      <c r="I119" s="6">
        <v>138.4</v>
      </c>
      <c r="J119" s="83"/>
      <c r="K119" s="83"/>
      <c r="L119" s="83"/>
      <c r="M119" s="83"/>
      <c r="N119" s="83"/>
      <c r="O119" s="83"/>
    </row>
    <row r="120" spans="1:256" ht="15" customHeight="1" thickTop="1">
      <c r="A120" s="253"/>
      <c r="B120" s="86"/>
      <c r="C120" s="86"/>
      <c r="D120" s="108"/>
      <c r="E120" s="110"/>
      <c r="F120" s="109"/>
      <c r="G120" s="111"/>
      <c r="H120" s="83"/>
      <c r="I120" s="83"/>
      <c r="J120" s="83"/>
      <c r="K120" s="83"/>
      <c r="L120" s="83"/>
      <c r="M120" s="83"/>
      <c r="N120" s="83"/>
      <c r="O120" s="83"/>
    </row>
    <row r="121" spans="1:256" ht="15" customHeight="1">
      <c r="A121" s="241" t="s">
        <v>14</v>
      </c>
      <c r="B121" s="242"/>
      <c r="C121" s="254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</row>
    <row r="122" spans="1:256" ht="15" customHeight="1">
      <c r="A122" s="68" t="s">
        <v>103</v>
      </c>
      <c r="B122" s="68" t="s">
        <v>104</v>
      </c>
      <c r="C122" s="68" t="s">
        <v>66</v>
      </c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</row>
    <row r="123" spans="1:256" ht="15" customHeight="1" thickBot="1">
      <c r="A123" s="49" t="s">
        <v>15</v>
      </c>
      <c r="B123" s="49" t="s">
        <v>40</v>
      </c>
      <c r="C123" s="49" t="s">
        <v>2</v>
      </c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</row>
    <row r="124" spans="1:256" ht="15" customHeight="1" thickTop="1" thickBot="1">
      <c r="A124" s="7">
        <f>0.0523*B124*C124</f>
        <v>653.74999999999989</v>
      </c>
      <c r="B124" s="3">
        <v>50</v>
      </c>
      <c r="C124" s="3">
        <v>250</v>
      </c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</row>
    <row r="125" spans="1:256" ht="15" customHeight="1" thickTop="1" thickBot="1">
      <c r="A125" s="8">
        <v>523</v>
      </c>
      <c r="B125" s="11">
        <f>A125/(0.0523*C125)</f>
        <v>100.00000000000001</v>
      </c>
      <c r="C125" s="3">
        <v>100</v>
      </c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</row>
    <row r="126" spans="1:256" ht="15" customHeight="1" thickTop="1" thickBot="1">
      <c r="A126" s="3">
        <v>523</v>
      </c>
      <c r="B126" s="3">
        <v>100</v>
      </c>
      <c r="C126" s="11">
        <f>+A126/(0.0523*B126)</f>
        <v>100.00000000000001</v>
      </c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</row>
    <row r="127" spans="1:256" s="156" customFormat="1" ht="15" customHeight="1" thickTop="1">
      <c r="A127" s="86"/>
      <c r="B127" s="86"/>
      <c r="C127" s="112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  <c r="BM127" s="155"/>
      <c r="BN127" s="155"/>
      <c r="BO127" s="155"/>
      <c r="BP127" s="155"/>
      <c r="BQ127" s="155"/>
      <c r="BR127" s="155"/>
      <c r="BS127" s="155"/>
      <c r="BT127" s="155"/>
      <c r="BU127" s="155"/>
      <c r="BV127" s="155"/>
      <c r="BW127" s="155"/>
      <c r="BX127" s="155"/>
      <c r="BY127" s="155"/>
      <c r="BZ127" s="155"/>
      <c r="CA127" s="155"/>
      <c r="CB127" s="155"/>
      <c r="CC127" s="155"/>
      <c r="CD127" s="155"/>
      <c r="CE127" s="155"/>
      <c r="CF127" s="155"/>
      <c r="CG127" s="155"/>
      <c r="CH127" s="155"/>
      <c r="CI127" s="155"/>
      <c r="CJ127" s="155"/>
      <c r="CK127" s="155"/>
      <c r="CL127" s="155"/>
      <c r="CM127" s="155"/>
      <c r="CN127" s="155"/>
      <c r="CO127" s="155"/>
      <c r="CP127" s="155"/>
      <c r="CQ127" s="155"/>
      <c r="CR127" s="155"/>
      <c r="CS127" s="155"/>
      <c r="CT127" s="155"/>
      <c r="CU127" s="155"/>
      <c r="CV127" s="155"/>
      <c r="CW127" s="155"/>
      <c r="CX127" s="155"/>
      <c r="CY127" s="155"/>
      <c r="CZ127" s="155"/>
      <c r="DA127" s="155"/>
      <c r="DB127" s="155"/>
      <c r="DC127" s="155"/>
      <c r="DD127" s="155"/>
      <c r="DE127" s="155"/>
      <c r="DF127" s="155"/>
      <c r="DG127" s="155"/>
      <c r="DH127" s="155"/>
      <c r="DI127" s="155"/>
      <c r="DJ127" s="155"/>
      <c r="DK127" s="155"/>
      <c r="DL127" s="155"/>
      <c r="DM127" s="155"/>
      <c r="DN127" s="155"/>
      <c r="DO127" s="155"/>
      <c r="DP127" s="155"/>
      <c r="DQ127" s="155"/>
      <c r="DR127" s="155"/>
      <c r="DS127" s="155"/>
      <c r="DT127" s="155"/>
      <c r="DU127" s="155"/>
      <c r="DV127" s="155"/>
      <c r="DW127" s="155"/>
      <c r="DX127" s="155"/>
      <c r="DY127" s="155"/>
      <c r="DZ127" s="155"/>
      <c r="EA127" s="155"/>
      <c r="EB127" s="155"/>
      <c r="EC127" s="155"/>
      <c r="ED127" s="155"/>
      <c r="EE127" s="155"/>
      <c r="EF127" s="155"/>
      <c r="EG127" s="155"/>
      <c r="EH127" s="155"/>
      <c r="EI127" s="155"/>
      <c r="EJ127" s="155"/>
      <c r="EK127" s="155"/>
      <c r="EL127" s="155"/>
      <c r="EM127" s="155"/>
      <c r="EN127" s="155"/>
      <c r="EO127" s="155"/>
      <c r="EP127" s="155"/>
      <c r="EQ127" s="155"/>
      <c r="ER127" s="155"/>
      <c r="ES127" s="155"/>
      <c r="ET127" s="155"/>
      <c r="EU127" s="155"/>
      <c r="EV127" s="155"/>
      <c r="EW127" s="155"/>
      <c r="EX127" s="155"/>
      <c r="EY127" s="155"/>
      <c r="EZ127" s="155"/>
      <c r="FA127" s="155"/>
      <c r="FB127" s="155"/>
      <c r="FC127" s="155"/>
      <c r="FD127" s="155"/>
      <c r="FE127" s="155"/>
      <c r="FF127" s="155"/>
      <c r="FG127" s="155"/>
      <c r="FH127" s="155"/>
      <c r="FI127" s="155"/>
      <c r="FJ127" s="155"/>
      <c r="FK127" s="155"/>
      <c r="FL127" s="155"/>
      <c r="FM127" s="155"/>
      <c r="FN127" s="155"/>
      <c r="FO127" s="155"/>
      <c r="FP127" s="155"/>
      <c r="FQ127" s="155"/>
      <c r="FR127" s="155"/>
      <c r="FS127" s="155"/>
      <c r="FT127" s="155"/>
      <c r="FU127" s="155"/>
      <c r="FV127" s="155"/>
      <c r="FW127" s="155"/>
      <c r="FX127" s="155"/>
      <c r="FY127" s="155"/>
      <c r="FZ127" s="155"/>
      <c r="GA127" s="155"/>
      <c r="GB127" s="155"/>
      <c r="GC127" s="155"/>
      <c r="GD127" s="155"/>
      <c r="GE127" s="155"/>
      <c r="GF127" s="155"/>
      <c r="GG127" s="155"/>
      <c r="GH127" s="155"/>
      <c r="GI127" s="155"/>
      <c r="GJ127" s="155"/>
      <c r="GK127" s="155"/>
      <c r="GL127" s="155"/>
      <c r="GM127" s="155"/>
      <c r="GN127" s="155"/>
      <c r="GO127" s="155"/>
      <c r="GP127" s="155"/>
      <c r="GQ127" s="155"/>
      <c r="GR127" s="155"/>
      <c r="GS127" s="155"/>
      <c r="GT127" s="155"/>
      <c r="GU127" s="155"/>
      <c r="GV127" s="155"/>
      <c r="GW127" s="155"/>
      <c r="GX127" s="155"/>
      <c r="GY127" s="155"/>
      <c r="GZ127" s="155"/>
      <c r="HA127" s="155"/>
      <c r="HB127" s="155"/>
      <c r="HC127" s="155"/>
      <c r="HD127" s="155"/>
      <c r="HE127" s="155"/>
      <c r="HF127" s="155"/>
      <c r="HG127" s="155"/>
      <c r="HH127" s="155"/>
      <c r="HI127" s="155"/>
      <c r="HJ127" s="155"/>
      <c r="HK127" s="155"/>
      <c r="HL127" s="155"/>
      <c r="HM127" s="155"/>
      <c r="HN127" s="155"/>
      <c r="HO127" s="155"/>
      <c r="HP127" s="155"/>
      <c r="HQ127" s="155"/>
      <c r="HR127" s="155"/>
      <c r="HS127" s="155"/>
      <c r="HT127" s="155"/>
      <c r="HU127" s="155"/>
      <c r="HV127" s="155"/>
      <c r="HW127" s="155"/>
      <c r="HX127" s="155"/>
      <c r="HY127" s="155"/>
      <c r="HZ127" s="155"/>
      <c r="IA127" s="155"/>
      <c r="IB127" s="155"/>
      <c r="IC127" s="155"/>
      <c r="ID127" s="155"/>
      <c r="IE127" s="155"/>
      <c r="IF127" s="155"/>
      <c r="IG127" s="155"/>
      <c r="IH127" s="155"/>
      <c r="II127" s="155"/>
      <c r="IJ127" s="155"/>
      <c r="IK127" s="155"/>
      <c r="IL127" s="155"/>
      <c r="IM127" s="155"/>
      <c r="IN127" s="155"/>
      <c r="IO127" s="155"/>
      <c r="IP127" s="155"/>
      <c r="IQ127" s="155"/>
      <c r="IR127" s="155"/>
      <c r="IS127" s="155"/>
      <c r="IT127" s="155"/>
      <c r="IU127" s="155"/>
      <c r="IV127" s="155"/>
    </row>
    <row r="128" spans="1:256" ht="15" customHeight="1">
      <c r="A128" s="241" t="s">
        <v>102</v>
      </c>
      <c r="B128" s="242"/>
      <c r="C128" s="242"/>
      <c r="D128" s="242"/>
      <c r="E128" s="228"/>
      <c r="F128" s="83"/>
      <c r="G128" s="83"/>
      <c r="H128" s="83"/>
      <c r="I128" s="83"/>
      <c r="J128" s="83"/>
      <c r="K128" s="83"/>
      <c r="L128" s="83"/>
      <c r="M128" s="83"/>
      <c r="N128" s="83"/>
      <c r="O128" s="83"/>
    </row>
    <row r="129" spans="1:256" ht="15" customHeight="1">
      <c r="A129" s="67" t="s">
        <v>97</v>
      </c>
      <c r="B129" s="67" t="s">
        <v>98</v>
      </c>
      <c r="C129" s="67" t="s">
        <v>16</v>
      </c>
      <c r="D129" s="67" t="s">
        <v>157</v>
      </c>
      <c r="E129" s="67" t="s">
        <v>158</v>
      </c>
      <c r="F129" s="83"/>
      <c r="G129" s="83"/>
      <c r="H129" s="83"/>
      <c r="I129" s="83"/>
      <c r="J129" s="83"/>
      <c r="K129" s="83"/>
      <c r="L129" s="83"/>
      <c r="M129" s="83"/>
      <c r="N129" s="83"/>
      <c r="O129" s="83"/>
    </row>
    <row r="130" spans="1:256" ht="15" customHeight="1" thickBot="1">
      <c r="A130" s="49" t="s">
        <v>28</v>
      </c>
      <c r="B130" s="49" t="s">
        <v>28</v>
      </c>
      <c r="C130" s="49" t="s">
        <v>40</v>
      </c>
      <c r="D130" s="49" t="s">
        <v>40</v>
      </c>
      <c r="E130" s="49" t="s">
        <v>61</v>
      </c>
      <c r="F130" s="83"/>
      <c r="G130" s="83"/>
      <c r="H130" s="83"/>
      <c r="I130" s="83"/>
      <c r="J130" s="83"/>
      <c r="K130" s="83"/>
      <c r="L130" s="83"/>
      <c r="M130" s="83"/>
      <c r="N130" s="83"/>
      <c r="O130" s="83"/>
    </row>
    <row r="131" spans="1:256" ht="15" customHeight="1" thickTop="1" thickBot="1">
      <c r="A131" s="7">
        <f>B131*(D131/C131)^2</f>
        <v>1202.0659279778392</v>
      </c>
      <c r="B131" s="8">
        <v>180</v>
      </c>
      <c r="C131" s="8">
        <v>190</v>
      </c>
      <c r="D131" s="8">
        <v>491</v>
      </c>
      <c r="E131" s="29">
        <f>(D131^2/4)*3.14*B131/100000</f>
        <v>340.64745300000004</v>
      </c>
      <c r="F131" s="83"/>
      <c r="G131" s="83"/>
      <c r="H131" s="83"/>
      <c r="I131" s="83"/>
      <c r="J131" s="83"/>
      <c r="K131" s="83"/>
      <c r="L131" s="83"/>
      <c r="M131" s="83"/>
      <c r="N131" s="83"/>
      <c r="O131" s="83"/>
    </row>
    <row r="132" spans="1:256" ht="15" customHeight="1" thickTop="1" thickBot="1">
      <c r="A132" s="8">
        <v>1730</v>
      </c>
      <c r="B132" s="7">
        <f>A132*(C132/D132)^2</f>
        <v>259.05401089260454</v>
      </c>
      <c r="C132" s="8">
        <v>190</v>
      </c>
      <c r="D132" s="8">
        <v>491</v>
      </c>
      <c r="E132" s="29">
        <f t="shared" ref="E132:E134" si="6">(D132^2/4)*3.14*B132/100000</f>
        <v>490.25605000000002</v>
      </c>
      <c r="F132" s="83"/>
      <c r="G132" s="83"/>
      <c r="H132" s="83"/>
      <c r="I132" s="83"/>
      <c r="J132" s="83"/>
      <c r="K132" s="83"/>
      <c r="L132" s="83"/>
      <c r="M132" s="83"/>
      <c r="N132" s="83"/>
      <c r="O132" s="83"/>
    </row>
    <row r="133" spans="1:256" ht="15" customHeight="1" thickTop="1" thickBot="1">
      <c r="A133" s="8">
        <v>1730</v>
      </c>
      <c r="B133" s="8">
        <v>180</v>
      </c>
      <c r="C133" s="9">
        <f>D133*SQRT(B133/A133)</f>
        <v>158.37794118606058</v>
      </c>
      <c r="D133" s="8">
        <v>491</v>
      </c>
      <c r="E133" s="29">
        <f t="shared" si="6"/>
        <v>340.64745300000004</v>
      </c>
      <c r="F133" s="83"/>
      <c r="G133" s="83"/>
      <c r="H133" s="83"/>
      <c r="I133" s="83"/>
      <c r="J133" s="83"/>
      <c r="K133" s="83"/>
      <c r="L133" s="83"/>
      <c r="M133" s="83"/>
      <c r="N133" s="83"/>
      <c r="O133" s="83"/>
    </row>
    <row r="134" spans="1:256" ht="15" customHeight="1" thickTop="1" thickBot="1">
      <c r="A134" s="8">
        <v>1730</v>
      </c>
      <c r="B134" s="8">
        <v>180</v>
      </c>
      <c r="C134" s="8">
        <v>190</v>
      </c>
      <c r="D134" s="7">
        <f>C134*SQRT(A134/B134)</f>
        <v>589.03404919504533</v>
      </c>
      <c r="E134" s="29">
        <f t="shared" si="6"/>
        <v>490.2560499999999</v>
      </c>
      <c r="F134" s="83"/>
      <c r="G134" s="83"/>
      <c r="H134" s="83"/>
      <c r="I134" s="83"/>
      <c r="J134" s="83"/>
      <c r="K134" s="83"/>
      <c r="L134" s="83"/>
      <c r="M134" s="83"/>
      <c r="N134" s="83"/>
      <c r="O134" s="83"/>
    </row>
    <row r="135" spans="1:256" s="156" customFormat="1" ht="15" customHeight="1" thickTop="1">
      <c r="A135" s="107"/>
      <c r="B135" s="107"/>
      <c r="C135" s="107"/>
      <c r="D135" s="113"/>
      <c r="E135" s="114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  <c r="BK135" s="155"/>
      <c r="BL135" s="155"/>
      <c r="BM135" s="155"/>
      <c r="BN135" s="155"/>
      <c r="BO135" s="155"/>
      <c r="BP135" s="155"/>
      <c r="BQ135" s="155"/>
      <c r="BR135" s="155"/>
      <c r="BS135" s="155"/>
      <c r="BT135" s="155"/>
      <c r="BU135" s="155"/>
      <c r="BV135" s="155"/>
      <c r="BW135" s="155"/>
      <c r="BX135" s="155"/>
      <c r="BY135" s="155"/>
      <c r="BZ135" s="155"/>
      <c r="CA135" s="155"/>
      <c r="CB135" s="155"/>
      <c r="CC135" s="155"/>
      <c r="CD135" s="155"/>
      <c r="CE135" s="155"/>
      <c r="CF135" s="155"/>
      <c r="CG135" s="155"/>
      <c r="CH135" s="155"/>
      <c r="CI135" s="155"/>
      <c r="CJ135" s="155"/>
      <c r="CK135" s="155"/>
      <c r="CL135" s="155"/>
      <c r="CM135" s="155"/>
      <c r="CN135" s="155"/>
      <c r="CO135" s="155"/>
      <c r="CP135" s="155"/>
      <c r="CQ135" s="155"/>
      <c r="CR135" s="155"/>
      <c r="CS135" s="155"/>
      <c r="CT135" s="155"/>
      <c r="CU135" s="155"/>
      <c r="CV135" s="155"/>
      <c r="CW135" s="155"/>
      <c r="CX135" s="155"/>
      <c r="CY135" s="155"/>
      <c r="CZ135" s="155"/>
      <c r="DA135" s="155"/>
      <c r="DB135" s="155"/>
      <c r="DC135" s="155"/>
      <c r="DD135" s="155"/>
      <c r="DE135" s="155"/>
      <c r="DF135" s="155"/>
      <c r="DG135" s="155"/>
      <c r="DH135" s="155"/>
      <c r="DI135" s="155"/>
      <c r="DJ135" s="155"/>
      <c r="DK135" s="155"/>
      <c r="DL135" s="155"/>
      <c r="DM135" s="155"/>
      <c r="DN135" s="155"/>
      <c r="DO135" s="155"/>
      <c r="DP135" s="155"/>
      <c r="DQ135" s="155"/>
      <c r="DR135" s="155"/>
      <c r="DS135" s="155"/>
      <c r="DT135" s="155"/>
      <c r="DU135" s="155"/>
      <c r="DV135" s="155"/>
      <c r="DW135" s="155"/>
      <c r="DX135" s="155"/>
      <c r="DY135" s="155"/>
      <c r="DZ135" s="155"/>
      <c r="EA135" s="155"/>
      <c r="EB135" s="155"/>
      <c r="EC135" s="155"/>
      <c r="ED135" s="155"/>
      <c r="EE135" s="155"/>
      <c r="EF135" s="155"/>
      <c r="EG135" s="155"/>
      <c r="EH135" s="155"/>
      <c r="EI135" s="155"/>
      <c r="EJ135" s="155"/>
      <c r="EK135" s="155"/>
      <c r="EL135" s="155"/>
      <c r="EM135" s="155"/>
      <c r="EN135" s="155"/>
      <c r="EO135" s="155"/>
      <c r="EP135" s="155"/>
      <c r="EQ135" s="155"/>
      <c r="ER135" s="155"/>
      <c r="ES135" s="155"/>
      <c r="ET135" s="155"/>
      <c r="EU135" s="155"/>
      <c r="EV135" s="155"/>
      <c r="EW135" s="155"/>
      <c r="EX135" s="155"/>
      <c r="EY135" s="155"/>
      <c r="EZ135" s="155"/>
      <c r="FA135" s="155"/>
      <c r="FB135" s="155"/>
      <c r="FC135" s="155"/>
      <c r="FD135" s="155"/>
      <c r="FE135" s="155"/>
      <c r="FF135" s="155"/>
      <c r="FG135" s="155"/>
      <c r="FH135" s="155"/>
      <c r="FI135" s="155"/>
      <c r="FJ135" s="155"/>
      <c r="FK135" s="155"/>
      <c r="FL135" s="155"/>
      <c r="FM135" s="155"/>
      <c r="FN135" s="155"/>
      <c r="FO135" s="155"/>
      <c r="FP135" s="155"/>
      <c r="FQ135" s="155"/>
      <c r="FR135" s="155"/>
      <c r="FS135" s="155"/>
      <c r="FT135" s="155"/>
      <c r="FU135" s="155"/>
      <c r="FV135" s="155"/>
      <c r="FW135" s="155"/>
      <c r="FX135" s="155"/>
      <c r="FY135" s="155"/>
      <c r="FZ135" s="155"/>
      <c r="GA135" s="155"/>
      <c r="GB135" s="155"/>
      <c r="GC135" s="155"/>
      <c r="GD135" s="155"/>
      <c r="GE135" s="155"/>
      <c r="GF135" s="155"/>
      <c r="GG135" s="155"/>
      <c r="GH135" s="155"/>
      <c r="GI135" s="155"/>
      <c r="GJ135" s="155"/>
      <c r="GK135" s="155"/>
      <c r="GL135" s="155"/>
      <c r="GM135" s="155"/>
      <c r="GN135" s="155"/>
      <c r="GO135" s="155"/>
      <c r="GP135" s="155"/>
      <c r="GQ135" s="155"/>
      <c r="GR135" s="155"/>
      <c r="GS135" s="155"/>
      <c r="GT135" s="155"/>
      <c r="GU135" s="155"/>
      <c r="GV135" s="155"/>
      <c r="GW135" s="155"/>
      <c r="GX135" s="155"/>
      <c r="GY135" s="155"/>
      <c r="GZ135" s="155"/>
      <c r="HA135" s="155"/>
      <c r="HB135" s="155"/>
      <c r="HC135" s="155"/>
      <c r="HD135" s="155"/>
      <c r="HE135" s="155"/>
      <c r="HF135" s="155"/>
      <c r="HG135" s="155"/>
      <c r="HH135" s="155"/>
      <c r="HI135" s="155"/>
      <c r="HJ135" s="155"/>
      <c r="HK135" s="155"/>
      <c r="HL135" s="155"/>
      <c r="HM135" s="155"/>
      <c r="HN135" s="155"/>
      <c r="HO135" s="155"/>
      <c r="HP135" s="155"/>
      <c r="HQ135" s="155"/>
      <c r="HR135" s="155"/>
      <c r="HS135" s="155"/>
      <c r="HT135" s="155"/>
      <c r="HU135" s="155"/>
      <c r="HV135" s="155"/>
      <c r="HW135" s="155"/>
      <c r="HX135" s="155"/>
      <c r="HY135" s="155"/>
      <c r="HZ135" s="155"/>
      <c r="IA135" s="155"/>
      <c r="IB135" s="155"/>
      <c r="IC135" s="155"/>
      <c r="ID135" s="155"/>
      <c r="IE135" s="155"/>
      <c r="IF135" s="155"/>
      <c r="IG135" s="155"/>
      <c r="IH135" s="155"/>
      <c r="II135" s="155"/>
      <c r="IJ135" s="155"/>
      <c r="IK135" s="155"/>
      <c r="IL135" s="155"/>
      <c r="IM135" s="155"/>
      <c r="IN135" s="155"/>
      <c r="IO135" s="155"/>
      <c r="IP135" s="155"/>
      <c r="IQ135" s="155"/>
      <c r="IR135" s="155"/>
      <c r="IS135" s="155"/>
      <c r="IT135" s="155"/>
      <c r="IU135" s="155"/>
      <c r="IV135" s="155"/>
    </row>
    <row r="136" spans="1:256" ht="15" customHeight="1">
      <c r="A136" s="241" t="s">
        <v>99</v>
      </c>
      <c r="B136" s="151"/>
      <c r="C136" s="151"/>
      <c r="D136" s="228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</row>
    <row r="137" spans="1:256" ht="15" customHeight="1">
      <c r="A137" s="67" t="s">
        <v>101</v>
      </c>
      <c r="B137" s="67" t="s">
        <v>101</v>
      </c>
      <c r="C137" s="67" t="s">
        <v>100</v>
      </c>
      <c r="D137" s="67" t="s">
        <v>100</v>
      </c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</row>
    <row r="138" spans="1:256" ht="15" customHeight="1" thickBot="1">
      <c r="A138" s="49" t="s">
        <v>28</v>
      </c>
      <c r="B138" s="49" t="s">
        <v>40</v>
      </c>
      <c r="C138" s="49" t="s">
        <v>28</v>
      </c>
      <c r="D138" s="49" t="s">
        <v>40</v>
      </c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</row>
    <row r="139" spans="1:256" ht="15" customHeight="1" thickTop="1" thickBot="1">
      <c r="A139" s="7">
        <f>C139*(D139/B139)^2</f>
        <v>2703.125</v>
      </c>
      <c r="B139" s="3">
        <v>40</v>
      </c>
      <c r="C139" s="3">
        <v>1730</v>
      </c>
      <c r="D139" s="3">
        <v>50</v>
      </c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</row>
    <row r="140" spans="1:256" ht="15" customHeight="1" thickTop="1" thickBot="1">
      <c r="A140" s="3">
        <v>1400</v>
      </c>
      <c r="B140" s="9">
        <f>D140*SQRT(C140/A140)</f>
        <v>55.581343221315862</v>
      </c>
      <c r="C140" s="3">
        <v>1730</v>
      </c>
      <c r="D140" s="3">
        <v>50</v>
      </c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</row>
    <row r="141" spans="1:256" s="156" customFormat="1" ht="15" customHeight="1" thickTop="1">
      <c r="A141" s="110"/>
      <c r="B141" s="115"/>
      <c r="C141" s="110"/>
      <c r="D141" s="110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  <c r="BI141" s="155"/>
      <c r="BJ141" s="155"/>
      <c r="BK141" s="155"/>
      <c r="BL141" s="155"/>
      <c r="BM141" s="155"/>
      <c r="BN141" s="155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55"/>
      <c r="CA141" s="155"/>
      <c r="CB141" s="155"/>
      <c r="CC141" s="155"/>
      <c r="CD141" s="155"/>
      <c r="CE141" s="155"/>
      <c r="CF141" s="155"/>
      <c r="CG141" s="155"/>
      <c r="CH141" s="155"/>
      <c r="CI141" s="155"/>
      <c r="CJ141" s="155"/>
      <c r="CK141" s="155"/>
      <c r="CL141" s="155"/>
      <c r="CM141" s="155"/>
      <c r="CN141" s="155"/>
      <c r="CO141" s="155"/>
      <c r="CP141" s="155"/>
      <c r="CQ141" s="155"/>
      <c r="CR141" s="155"/>
      <c r="CS141" s="155"/>
      <c r="CT141" s="155"/>
      <c r="CU141" s="155"/>
      <c r="CV141" s="155"/>
      <c r="CW141" s="155"/>
      <c r="CX141" s="155"/>
      <c r="CY141" s="155"/>
      <c r="CZ141" s="155"/>
      <c r="DA141" s="155"/>
      <c r="DB141" s="155"/>
      <c r="DC141" s="155"/>
      <c r="DD141" s="155"/>
      <c r="DE141" s="155"/>
      <c r="DF141" s="155"/>
      <c r="DG141" s="155"/>
      <c r="DH141" s="155"/>
      <c r="DI141" s="155"/>
      <c r="DJ141" s="155"/>
      <c r="DK141" s="155"/>
      <c r="DL141" s="155"/>
      <c r="DM141" s="155"/>
      <c r="DN141" s="155"/>
      <c r="DO141" s="155"/>
      <c r="DP141" s="155"/>
      <c r="DQ141" s="155"/>
      <c r="DR141" s="155"/>
      <c r="DS141" s="155"/>
      <c r="DT141" s="155"/>
      <c r="DU141" s="155"/>
      <c r="DV141" s="155"/>
      <c r="DW141" s="155"/>
      <c r="DX141" s="155"/>
      <c r="DY141" s="155"/>
      <c r="DZ141" s="155"/>
      <c r="EA141" s="155"/>
      <c r="EB141" s="155"/>
      <c r="EC141" s="155"/>
      <c r="ED141" s="155"/>
      <c r="EE141" s="155"/>
      <c r="EF141" s="155"/>
      <c r="EG141" s="155"/>
      <c r="EH141" s="155"/>
      <c r="EI141" s="155"/>
      <c r="EJ141" s="155"/>
      <c r="EK141" s="155"/>
      <c r="EL141" s="155"/>
      <c r="EM141" s="155"/>
      <c r="EN141" s="155"/>
      <c r="EO141" s="155"/>
      <c r="EP141" s="155"/>
      <c r="EQ141" s="155"/>
      <c r="ER141" s="155"/>
      <c r="ES141" s="155"/>
      <c r="ET141" s="155"/>
      <c r="EU141" s="155"/>
      <c r="EV141" s="155"/>
      <c r="EW141" s="155"/>
      <c r="EX141" s="155"/>
      <c r="EY141" s="155"/>
      <c r="EZ141" s="155"/>
      <c r="FA141" s="155"/>
      <c r="FB141" s="155"/>
      <c r="FC141" s="155"/>
      <c r="FD141" s="155"/>
      <c r="FE141" s="155"/>
      <c r="FF141" s="155"/>
      <c r="FG141" s="155"/>
      <c r="FH141" s="155"/>
      <c r="FI141" s="155"/>
      <c r="FJ141" s="155"/>
      <c r="FK141" s="155"/>
      <c r="FL141" s="155"/>
      <c r="FM141" s="155"/>
      <c r="FN141" s="155"/>
      <c r="FO141" s="155"/>
      <c r="FP141" s="155"/>
      <c r="FQ141" s="155"/>
      <c r="FR141" s="155"/>
      <c r="FS141" s="155"/>
      <c r="FT141" s="155"/>
      <c r="FU141" s="155"/>
      <c r="FV141" s="155"/>
      <c r="FW141" s="155"/>
      <c r="FX141" s="155"/>
      <c r="FY141" s="155"/>
      <c r="FZ141" s="155"/>
      <c r="GA141" s="155"/>
      <c r="GB141" s="155"/>
      <c r="GC141" s="155"/>
      <c r="GD141" s="155"/>
      <c r="GE141" s="155"/>
      <c r="GF141" s="155"/>
      <c r="GG141" s="155"/>
      <c r="GH141" s="155"/>
      <c r="GI141" s="155"/>
      <c r="GJ141" s="155"/>
      <c r="GK141" s="155"/>
      <c r="GL141" s="155"/>
      <c r="GM141" s="155"/>
      <c r="GN141" s="155"/>
      <c r="GO141" s="155"/>
      <c r="GP141" s="155"/>
      <c r="GQ141" s="155"/>
      <c r="GR141" s="155"/>
      <c r="GS141" s="155"/>
      <c r="GT141" s="155"/>
      <c r="GU141" s="155"/>
      <c r="GV141" s="155"/>
      <c r="GW141" s="155"/>
      <c r="GX141" s="155"/>
      <c r="GY141" s="155"/>
      <c r="GZ141" s="155"/>
      <c r="HA141" s="155"/>
      <c r="HB141" s="155"/>
      <c r="HC141" s="155"/>
      <c r="HD141" s="155"/>
      <c r="HE141" s="155"/>
      <c r="HF141" s="155"/>
      <c r="HG141" s="155"/>
      <c r="HH141" s="155"/>
      <c r="HI141" s="155"/>
      <c r="HJ141" s="155"/>
      <c r="HK141" s="155"/>
      <c r="HL141" s="155"/>
      <c r="HM141" s="155"/>
      <c r="HN141" s="155"/>
      <c r="HO141" s="155"/>
      <c r="HP141" s="155"/>
      <c r="HQ141" s="155"/>
      <c r="HR141" s="155"/>
      <c r="HS141" s="155"/>
      <c r="HT141" s="155"/>
      <c r="HU141" s="155"/>
      <c r="HV141" s="155"/>
      <c r="HW141" s="155"/>
      <c r="HX141" s="155"/>
      <c r="HY141" s="155"/>
      <c r="HZ141" s="155"/>
      <c r="IA141" s="155"/>
      <c r="IB141" s="155"/>
      <c r="IC141" s="155"/>
      <c r="ID141" s="155"/>
      <c r="IE141" s="155"/>
      <c r="IF141" s="155"/>
      <c r="IG141" s="155"/>
      <c r="IH141" s="155"/>
      <c r="II141" s="155"/>
      <c r="IJ141" s="155"/>
      <c r="IK141" s="155"/>
      <c r="IL141" s="155"/>
      <c r="IM141" s="155"/>
      <c r="IN141" s="155"/>
      <c r="IO141" s="155"/>
      <c r="IP141" s="155"/>
      <c r="IQ141" s="155"/>
      <c r="IR141" s="155"/>
      <c r="IS141" s="155"/>
      <c r="IT141" s="155"/>
      <c r="IU141" s="155"/>
      <c r="IV141" s="155"/>
    </row>
    <row r="142" spans="1:256" ht="15" customHeight="1">
      <c r="A142" s="255" t="s">
        <v>208</v>
      </c>
      <c r="B142" s="256"/>
      <c r="C142" s="257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</row>
    <row r="143" spans="1:256" ht="15" customHeight="1">
      <c r="A143" s="12" t="s">
        <v>53</v>
      </c>
      <c r="B143" s="12" t="s">
        <v>211</v>
      </c>
      <c r="C143" s="12" t="s">
        <v>272</v>
      </c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</row>
    <row r="144" spans="1:256" ht="15" customHeight="1">
      <c r="A144" s="258" t="s">
        <v>209</v>
      </c>
      <c r="B144" s="13">
        <v>2.6</v>
      </c>
      <c r="C144" s="13">
        <v>2.6</v>
      </c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</row>
    <row r="145" spans="1:256" ht="15" customHeight="1">
      <c r="A145" s="258" t="s">
        <v>210</v>
      </c>
      <c r="B145" s="13">
        <v>2.8</v>
      </c>
      <c r="C145" s="13">
        <v>2.8</v>
      </c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</row>
    <row r="146" spans="1:256" ht="15" customHeight="1">
      <c r="A146" s="258" t="s">
        <v>56</v>
      </c>
      <c r="B146" s="13">
        <v>1.06</v>
      </c>
      <c r="C146" s="13">
        <v>1.4</v>
      </c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</row>
    <row r="147" spans="1:256" ht="15" customHeight="1">
      <c r="A147" s="258" t="s">
        <v>213</v>
      </c>
      <c r="B147" s="13">
        <v>1.07</v>
      </c>
      <c r="C147" s="13">
        <v>1.3</v>
      </c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</row>
    <row r="148" spans="1:256" ht="15" customHeight="1">
      <c r="A148" s="258" t="s">
        <v>215</v>
      </c>
      <c r="B148" s="13">
        <v>0.95</v>
      </c>
      <c r="C148" s="13">
        <v>0.74</v>
      </c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</row>
    <row r="149" spans="1:256" ht="15" customHeight="1">
      <c r="A149" s="258" t="s">
        <v>214</v>
      </c>
      <c r="B149" s="13">
        <v>0.92</v>
      </c>
      <c r="C149" s="13">
        <v>0.76</v>
      </c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</row>
    <row r="150" spans="1:256" ht="15" customHeight="1">
      <c r="A150" s="258" t="s">
        <v>57</v>
      </c>
      <c r="B150" s="13">
        <v>1.1399999999999999</v>
      </c>
      <c r="C150" s="13">
        <v>0.97</v>
      </c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</row>
    <row r="151" spans="1:256" ht="15" customHeight="1">
      <c r="A151" s="258" t="s">
        <v>220</v>
      </c>
      <c r="B151" s="13">
        <v>1.1499999999999999</v>
      </c>
      <c r="C151" s="13">
        <v>0.97</v>
      </c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</row>
    <row r="152" spans="1:256" ht="15" customHeight="1">
      <c r="A152" s="258" t="s">
        <v>218</v>
      </c>
      <c r="B152" s="13">
        <v>1.2</v>
      </c>
      <c r="C152" s="13">
        <v>1.02</v>
      </c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</row>
    <row r="153" spans="1:256" ht="15" customHeight="1">
      <c r="A153" s="258" t="s">
        <v>219</v>
      </c>
      <c r="B153" s="13">
        <v>1.4</v>
      </c>
      <c r="C153" s="13">
        <v>1.2</v>
      </c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</row>
    <row r="154" spans="1:256" ht="15" customHeight="1">
      <c r="A154" s="258" t="s">
        <v>216</v>
      </c>
      <c r="B154" s="13">
        <v>1.18</v>
      </c>
      <c r="C154" s="13">
        <v>0.94</v>
      </c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</row>
    <row r="155" spans="1:256" ht="15" customHeight="1">
      <c r="A155" s="258" t="s">
        <v>217</v>
      </c>
      <c r="B155" s="13">
        <v>1.42</v>
      </c>
      <c r="C155" s="13">
        <v>1.1499999999999999</v>
      </c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</row>
    <row r="156" spans="1:256" ht="15" customHeight="1">
      <c r="A156" s="258" t="s">
        <v>55</v>
      </c>
      <c r="B156" s="13">
        <v>0.9</v>
      </c>
      <c r="C156" s="13">
        <v>0.7</v>
      </c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</row>
    <row r="157" spans="1:256" ht="15" customHeight="1">
      <c r="A157" s="258" t="s">
        <v>58</v>
      </c>
      <c r="B157" s="13">
        <v>1.05</v>
      </c>
      <c r="C157" s="13">
        <v>0.95</v>
      </c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</row>
    <row r="158" spans="1:256" ht="15" customHeight="1">
      <c r="A158" s="13" t="s">
        <v>221</v>
      </c>
      <c r="B158" s="14">
        <v>1.2</v>
      </c>
      <c r="C158" s="13">
        <v>0.9</v>
      </c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</row>
    <row r="159" spans="1:256" ht="15" customHeight="1">
      <c r="A159" s="258" t="s">
        <v>212</v>
      </c>
      <c r="B159" s="13">
        <v>1.08</v>
      </c>
      <c r="C159" s="13">
        <v>1.3</v>
      </c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</row>
    <row r="160" spans="1:256" s="156" customFormat="1" ht="15" customHeight="1" thickBot="1">
      <c r="A160" s="117"/>
      <c r="B160" s="116"/>
      <c r="C160" s="11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55"/>
      <c r="BP160" s="155"/>
      <c r="BQ160" s="155"/>
      <c r="BR160" s="155"/>
      <c r="BS160" s="155"/>
      <c r="BT160" s="155"/>
      <c r="BU160" s="155"/>
      <c r="BV160" s="155"/>
      <c r="BW160" s="155"/>
      <c r="BX160" s="155"/>
      <c r="BY160" s="155"/>
      <c r="BZ160" s="155"/>
      <c r="CA160" s="155"/>
      <c r="CB160" s="155"/>
      <c r="CC160" s="155"/>
      <c r="CD160" s="155"/>
      <c r="CE160" s="155"/>
      <c r="CF160" s="155"/>
      <c r="CG160" s="155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  <c r="DI160" s="155"/>
      <c r="DJ160" s="155"/>
      <c r="DK160" s="155"/>
      <c r="DL160" s="155"/>
      <c r="DM160" s="155"/>
      <c r="DN160" s="155"/>
      <c r="DO160" s="155"/>
      <c r="DP160" s="155"/>
      <c r="DQ160" s="155"/>
      <c r="DR160" s="155"/>
      <c r="DS160" s="155"/>
      <c r="DT160" s="155"/>
      <c r="DU160" s="155"/>
      <c r="DV160" s="155"/>
      <c r="DW160" s="155"/>
      <c r="DX160" s="155"/>
      <c r="DY160" s="155"/>
      <c r="DZ160" s="155"/>
      <c r="EA160" s="155"/>
      <c r="EB160" s="155"/>
      <c r="EC160" s="155"/>
      <c r="ED160" s="155"/>
      <c r="EE160" s="155"/>
      <c r="EF160" s="155"/>
      <c r="EG160" s="155"/>
      <c r="EH160" s="155"/>
      <c r="EI160" s="155"/>
      <c r="EJ160" s="155"/>
      <c r="EK160" s="155"/>
      <c r="EL160" s="155"/>
      <c r="EM160" s="155"/>
      <c r="EN160" s="155"/>
      <c r="EO160" s="155"/>
      <c r="EP160" s="155"/>
      <c r="EQ160" s="155"/>
      <c r="ER160" s="155"/>
      <c r="ES160" s="155"/>
      <c r="ET160" s="155"/>
      <c r="EU160" s="155"/>
      <c r="EV160" s="155"/>
      <c r="EW160" s="155"/>
      <c r="EX160" s="155"/>
      <c r="EY160" s="155"/>
      <c r="EZ160" s="155"/>
      <c r="FA160" s="155"/>
      <c r="FB160" s="155"/>
      <c r="FC160" s="155"/>
      <c r="FD160" s="155"/>
      <c r="FE160" s="155"/>
      <c r="FF160" s="155"/>
      <c r="FG160" s="155"/>
      <c r="FH160" s="155"/>
      <c r="FI160" s="155"/>
      <c r="FJ160" s="155"/>
      <c r="FK160" s="155"/>
      <c r="FL160" s="155"/>
      <c r="FM160" s="155"/>
      <c r="FN160" s="155"/>
      <c r="FO160" s="155"/>
      <c r="FP160" s="155"/>
      <c r="FQ160" s="155"/>
      <c r="FR160" s="155"/>
      <c r="FS160" s="155"/>
      <c r="FT160" s="155"/>
      <c r="FU160" s="155"/>
      <c r="FV160" s="155"/>
      <c r="FW160" s="155"/>
      <c r="FX160" s="155"/>
      <c r="FY160" s="155"/>
      <c r="FZ160" s="155"/>
      <c r="GA160" s="155"/>
      <c r="GB160" s="155"/>
      <c r="GC160" s="155"/>
      <c r="GD160" s="155"/>
      <c r="GE160" s="155"/>
      <c r="GF160" s="155"/>
      <c r="GG160" s="155"/>
      <c r="GH160" s="155"/>
      <c r="GI160" s="155"/>
      <c r="GJ160" s="155"/>
      <c r="GK160" s="155"/>
      <c r="GL160" s="155"/>
      <c r="GM160" s="155"/>
      <c r="GN160" s="155"/>
      <c r="GO160" s="155"/>
      <c r="GP160" s="155"/>
      <c r="GQ160" s="155"/>
      <c r="GR160" s="155"/>
      <c r="GS160" s="155"/>
      <c r="GT160" s="155"/>
      <c r="GU160" s="155"/>
      <c r="GV160" s="155"/>
      <c r="GW160" s="155"/>
      <c r="GX160" s="155"/>
      <c r="GY160" s="155"/>
      <c r="GZ160" s="155"/>
      <c r="HA160" s="155"/>
      <c r="HB160" s="155"/>
      <c r="HC160" s="155"/>
      <c r="HD160" s="155"/>
      <c r="HE160" s="155"/>
      <c r="HF160" s="155"/>
      <c r="HG160" s="155"/>
      <c r="HH160" s="155"/>
      <c r="HI160" s="155"/>
      <c r="HJ160" s="155"/>
      <c r="HK160" s="155"/>
      <c r="HL160" s="155"/>
      <c r="HM160" s="155"/>
      <c r="HN160" s="155"/>
      <c r="HO160" s="155"/>
      <c r="HP160" s="155"/>
      <c r="HQ160" s="155"/>
      <c r="HR160" s="155"/>
      <c r="HS160" s="155"/>
      <c r="HT160" s="155"/>
      <c r="HU160" s="155"/>
      <c r="HV160" s="155"/>
      <c r="HW160" s="155"/>
      <c r="HX160" s="155"/>
      <c r="HY160" s="155"/>
      <c r="HZ160" s="155"/>
      <c r="IA160" s="155"/>
      <c r="IB160" s="155"/>
      <c r="IC160" s="155"/>
      <c r="ID160" s="155"/>
      <c r="IE160" s="155"/>
      <c r="IF160" s="155"/>
      <c r="IG160" s="155"/>
      <c r="IH160" s="155"/>
      <c r="II160" s="155"/>
      <c r="IJ160" s="155"/>
      <c r="IK160" s="155"/>
      <c r="IL160" s="155"/>
      <c r="IM160" s="155"/>
      <c r="IN160" s="155"/>
      <c r="IO160" s="155"/>
      <c r="IP160" s="155"/>
      <c r="IQ160" s="155"/>
      <c r="IR160" s="155"/>
      <c r="IS160" s="155"/>
      <c r="IT160" s="155"/>
      <c r="IU160" s="155"/>
      <c r="IV160" s="155"/>
    </row>
    <row r="161" spans="1:256" ht="15" customHeight="1" thickTop="1">
      <c r="A161" s="259" t="s">
        <v>338</v>
      </c>
      <c r="B161" s="260"/>
      <c r="C161" s="260"/>
      <c r="D161" s="260"/>
      <c r="E161" s="260"/>
      <c r="F161" s="260"/>
      <c r="G161" s="261"/>
      <c r="H161" s="83"/>
      <c r="I161" s="83"/>
      <c r="J161" s="83"/>
      <c r="K161" s="83"/>
      <c r="L161" s="83"/>
      <c r="M161" s="83"/>
      <c r="N161" s="83"/>
      <c r="O161" s="83"/>
    </row>
    <row r="162" spans="1:256" ht="15" customHeight="1">
      <c r="A162" s="193" t="s">
        <v>46</v>
      </c>
      <c r="B162" s="67" t="s">
        <v>47</v>
      </c>
      <c r="C162" s="67" t="s">
        <v>204</v>
      </c>
      <c r="D162" s="67" t="s">
        <v>205</v>
      </c>
      <c r="E162" s="67" t="s">
        <v>206</v>
      </c>
      <c r="F162" s="38" t="s">
        <v>48</v>
      </c>
      <c r="G162" s="194"/>
      <c r="H162" s="83"/>
      <c r="I162" s="83"/>
      <c r="J162" s="83"/>
      <c r="K162" s="83"/>
      <c r="L162" s="83"/>
      <c r="M162" s="83"/>
      <c r="N162" s="83"/>
      <c r="O162" s="83"/>
    </row>
    <row r="163" spans="1:256" ht="15" customHeight="1">
      <c r="A163" s="262">
        <v>10</v>
      </c>
      <c r="B163" s="15">
        <v>90</v>
      </c>
      <c r="C163" s="15">
        <v>0</v>
      </c>
      <c r="D163" s="15">
        <v>0</v>
      </c>
      <c r="E163" s="15">
        <v>0</v>
      </c>
      <c r="F163" s="16">
        <f>SUM(A163:E163)</f>
        <v>100</v>
      </c>
      <c r="G163" s="263" t="s">
        <v>207</v>
      </c>
      <c r="H163" s="83"/>
      <c r="I163" s="83"/>
      <c r="J163" s="83"/>
      <c r="K163" s="83"/>
      <c r="L163" s="83"/>
      <c r="M163" s="83"/>
      <c r="N163" s="83"/>
      <c r="O163" s="83"/>
    </row>
    <row r="164" spans="1:256" ht="15" customHeight="1" thickBot="1">
      <c r="A164" s="264">
        <f>+IF(A163&gt;0,A163/F163,0)</f>
        <v>0.1</v>
      </c>
      <c r="B164" s="17">
        <f>+IF(B163&gt;0,B163/F163,0)</f>
        <v>0.9</v>
      </c>
      <c r="C164" s="17">
        <f>+IF(C163&gt;0,C163/F163,0)</f>
        <v>0</v>
      </c>
      <c r="D164" s="17">
        <f>+IF(D163&gt;0,D163/F163,0)</f>
        <v>0</v>
      </c>
      <c r="E164" s="17">
        <f>+IF(E163&gt;0,E163/F163,0)</f>
        <v>0</v>
      </c>
      <c r="F164" s="18">
        <f>SUM(A164:E164)</f>
        <v>1</v>
      </c>
      <c r="G164" s="265" t="s">
        <v>202</v>
      </c>
      <c r="H164" s="83"/>
      <c r="I164" s="83"/>
      <c r="J164" s="83"/>
      <c r="K164" s="83"/>
      <c r="L164" s="83"/>
      <c r="M164" s="83"/>
      <c r="N164" s="83"/>
      <c r="O164" s="83"/>
    </row>
    <row r="165" spans="1:256" ht="15" customHeight="1" thickTop="1" thickBot="1">
      <c r="A165" s="266">
        <v>2.6</v>
      </c>
      <c r="B165" s="2">
        <v>0.9</v>
      </c>
      <c r="C165" s="2">
        <v>0</v>
      </c>
      <c r="D165" s="2">
        <v>0</v>
      </c>
      <c r="E165" s="19">
        <v>0</v>
      </c>
      <c r="F165" s="20">
        <f>+F163/(IF(A165&gt;0,(A163/A165),0)+IF(B165&gt;0,(B163/B165),0)+IF(C165&gt;0,(C163/C165),0)+IF(D165&gt;0,(D163/D165),0)+IF(E165&gt;0,(E163/E165),0))</f>
        <v>0.96296296296296302</v>
      </c>
      <c r="G165" s="267" t="s">
        <v>41</v>
      </c>
      <c r="H165" s="83"/>
      <c r="I165" s="83"/>
      <c r="J165" s="83"/>
      <c r="K165" s="83"/>
      <c r="L165" s="83"/>
      <c r="M165" s="83"/>
      <c r="N165" s="83"/>
      <c r="O165" s="83"/>
    </row>
    <row r="166" spans="1:256" ht="15" customHeight="1" thickTop="1">
      <c r="A166" s="268">
        <f>IF(A165&gt;0,+A163/A165,0)</f>
        <v>3.8461538461538458</v>
      </c>
      <c r="B166" s="21">
        <f t="shared" ref="B166:F166" si="7">IF(B165&gt;0,+B163/B165,0)</f>
        <v>100</v>
      </c>
      <c r="C166" s="21">
        <f t="shared" si="7"/>
        <v>0</v>
      </c>
      <c r="D166" s="21">
        <f t="shared" si="7"/>
        <v>0</v>
      </c>
      <c r="E166" s="21">
        <f t="shared" si="7"/>
        <v>0</v>
      </c>
      <c r="F166" s="22">
        <f t="shared" si="7"/>
        <v>103.84615384615384</v>
      </c>
      <c r="G166" s="265" t="s">
        <v>196</v>
      </c>
      <c r="H166" s="83"/>
      <c r="I166" s="83"/>
      <c r="J166" s="83"/>
      <c r="K166" s="83"/>
      <c r="L166" s="83"/>
      <c r="M166" s="83"/>
      <c r="N166" s="83"/>
      <c r="O166" s="83"/>
    </row>
    <row r="167" spans="1:256" ht="15" customHeight="1" thickBot="1">
      <c r="A167" s="269">
        <f>+IF(A166&gt;0,A166/F166,0)</f>
        <v>3.7037037037037035E-2</v>
      </c>
      <c r="B167" s="270">
        <f>+IF(B166&gt;0,B166/F166,0)</f>
        <v>0.96296296296296302</v>
      </c>
      <c r="C167" s="270">
        <f>+IF(C166&gt;0,C166/F166,0)</f>
        <v>0</v>
      </c>
      <c r="D167" s="270">
        <f>+IF(D166&gt;0,D166/F166,0)</f>
        <v>0</v>
      </c>
      <c r="E167" s="270">
        <f>+IF(E166&gt;0,E166/F166,0)</f>
        <v>0</v>
      </c>
      <c r="F167" s="271">
        <f>SUM(A167:E167)</f>
        <v>1</v>
      </c>
      <c r="G167" s="272" t="s">
        <v>203</v>
      </c>
      <c r="H167" s="83"/>
      <c r="I167" s="83"/>
      <c r="J167" s="83"/>
      <c r="K167" s="83"/>
      <c r="L167" s="83"/>
      <c r="M167" s="83"/>
      <c r="N167" s="83"/>
      <c r="O167" s="83"/>
    </row>
    <row r="168" spans="1:256" s="156" customFormat="1" ht="15" customHeight="1" thickTop="1" thickBot="1">
      <c r="A168" s="118"/>
      <c r="B168" s="118"/>
      <c r="C168" s="118"/>
      <c r="D168" s="118"/>
      <c r="E168" s="118"/>
      <c r="F168" s="119"/>
      <c r="G168" s="96"/>
      <c r="H168" s="96"/>
      <c r="I168" s="96"/>
      <c r="J168" s="96"/>
      <c r="K168" s="96"/>
      <c r="L168" s="96"/>
      <c r="M168" s="96"/>
      <c r="N168" s="96"/>
      <c r="O168" s="96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5"/>
      <c r="CC168" s="155"/>
      <c r="CD168" s="155"/>
      <c r="CE168" s="155"/>
      <c r="CF168" s="155"/>
      <c r="CG168" s="155"/>
      <c r="CH168" s="155"/>
      <c r="CI168" s="155"/>
      <c r="CJ168" s="155"/>
      <c r="CK168" s="155"/>
      <c r="CL168" s="155"/>
      <c r="CM168" s="155"/>
      <c r="CN168" s="155"/>
      <c r="CO168" s="155"/>
      <c r="CP168" s="155"/>
      <c r="CQ168" s="155"/>
      <c r="CR168" s="155"/>
      <c r="CS168" s="155"/>
      <c r="CT168" s="155"/>
      <c r="CU168" s="155"/>
      <c r="CV168" s="155"/>
      <c r="CW168" s="155"/>
      <c r="CX168" s="155"/>
      <c r="CY168" s="155"/>
      <c r="CZ168" s="155"/>
      <c r="DA168" s="155"/>
      <c r="DB168" s="155"/>
      <c r="DC168" s="155"/>
      <c r="DD168" s="155"/>
      <c r="DE168" s="155"/>
      <c r="DF168" s="155"/>
      <c r="DG168" s="155"/>
      <c r="DH168" s="155"/>
      <c r="DI168" s="155"/>
      <c r="DJ168" s="155"/>
      <c r="DK168" s="155"/>
      <c r="DL168" s="155"/>
      <c r="DM168" s="155"/>
      <c r="DN168" s="155"/>
      <c r="DO168" s="155"/>
      <c r="DP168" s="155"/>
      <c r="DQ168" s="155"/>
      <c r="DR168" s="155"/>
      <c r="DS168" s="155"/>
      <c r="DT168" s="155"/>
      <c r="DU168" s="155"/>
      <c r="DV168" s="155"/>
      <c r="DW168" s="155"/>
      <c r="DX168" s="155"/>
      <c r="DY168" s="155"/>
      <c r="DZ168" s="155"/>
      <c r="EA168" s="155"/>
      <c r="EB168" s="155"/>
      <c r="EC168" s="155"/>
      <c r="ED168" s="155"/>
      <c r="EE168" s="155"/>
      <c r="EF168" s="155"/>
      <c r="EG168" s="155"/>
      <c r="EH168" s="155"/>
      <c r="EI168" s="155"/>
      <c r="EJ168" s="155"/>
      <c r="EK168" s="155"/>
      <c r="EL168" s="155"/>
      <c r="EM168" s="155"/>
      <c r="EN168" s="155"/>
      <c r="EO168" s="155"/>
      <c r="EP168" s="155"/>
      <c r="EQ168" s="155"/>
      <c r="ER168" s="155"/>
      <c r="ES168" s="155"/>
      <c r="ET168" s="155"/>
      <c r="EU168" s="155"/>
      <c r="EV168" s="155"/>
      <c r="EW168" s="155"/>
      <c r="EX168" s="155"/>
      <c r="EY168" s="155"/>
      <c r="EZ168" s="155"/>
      <c r="FA168" s="155"/>
      <c r="FB168" s="155"/>
      <c r="FC168" s="155"/>
      <c r="FD168" s="155"/>
      <c r="FE168" s="155"/>
      <c r="FF168" s="155"/>
      <c r="FG168" s="155"/>
      <c r="FH168" s="155"/>
      <c r="FI168" s="155"/>
      <c r="FJ168" s="155"/>
      <c r="FK168" s="155"/>
      <c r="FL168" s="155"/>
      <c r="FM168" s="155"/>
      <c r="FN168" s="155"/>
      <c r="FO168" s="155"/>
      <c r="FP168" s="155"/>
      <c r="FQ168" s="155"/>
      <c r="FR168" s="155"/>
      <c r="FS168" s="155"/>
      <c r="FT168" s="155"/>
      <c r="FU168" s="155"/>
      <c r="FV168" s="155"/>
      <c r="FW168" s="155"/>
      <c r="FX168" s="155"/>
      <c r="FY168" s="155"/>
      <c r="FZ168" s="155"/>
      <c r="GA168" s="155"/>
      <c r="GB168" s="155"/>
      <c r="GC168" s="155"/>
      <c r="GD168" s="155"/>
      <c r="GE168" s="155"/>
      <c r="GF168" s="155"/>
      <c r="GG168" s="155"/>
      <c r="GH168" s="155"/>
      <c r="GI168" s="155"/>
      <c r="GJ168" s="155"/>
      <c r="GK168" s="155"/>
      <c r="GL168" s="155"/>
      <c r="GM168" s="155"/>
      <c r="GN168" s="155"/>
      <c r="GO168" s="155"/>
      <c r="GP168" s="155"/>
      <c r="GQ168" s="155"/>
      <c r="GR168" s="155"/>
      <c r="GS168" s="155"/>
      <c r="GT168" s="155"/>
      <c r="GU168" s="155"/>
      <c r="GV168" s="155"/>
      <c r="GW168" s="155"/>
      <c r="GX168" s="155"/>
      <c r="GY168" s="155"/>
      <c r="GZ168" s="155"/>
      <c r="HA168" s="155"/>
      <c r="HB168" s="155"/>
      <c r="HC168" s="155"/>
      <c r="HD168" s="155"/>
      <c r="HE168" s="155"/>
      <c r="HF168" s="155"/>
      <c r="HG168" s="155"/>
      <c r="HH168" s="155"/>
      <c r="HI168" s="155"/>
      <c r="HJ168" s="155"/>
      <c r="HK168" s="155"/>
      <c r="HL168" s="155"/>
      <c r="HM168" s="155"/>
      <c r="HN168" s="155"/>
      <c r="HO168" s="155"/>
      <c r="HP168" s="155"/>
      <c r="HQ168" s="155"/>
      <c r="HR168" s="155"/>
      <c r="HS168" s="155"/>
      <c r="HT168" s="155"/>
      <c r="HU168" s="155"/>
      <c r="HV168" s="155"/>
      <c r="HW168" s="155"/>
      <c r="HX168" s="155"/>
      <c r="HY168" s="155"/>
      <c r="HZ168" s="155"/>
      <c r="IA168" s="155"/>
      <c r="IB168" s="155"/>
      <c r="IC168" s="155"/>
      <c r="ID168" s="155"/>
      <c r="IE168" s="155"/>
      <c r="IF168" s="155"/>
      <c r="IG168" s="155"/>
      <c r="IH168" s="155"/>
      <c r="II168" s="155"/>
      <c r="IJ168" s="155"/>
      <c r="IK168" s="155"/>
      <c r="IL168" s="155"/>
      <c r="IM168" s="155"/>
      <c r="IN168" s="155"/>
      <c r="IO168" s="155"/>
      <c r="IP168" s="155"/>
      <c r="IQ168" s="155"/>
      <c r="IR168" s="155"/>
      <c r="IS168" s="155"/>
      <c r="IT168" s="155"/>
      <c r="IU168" s="155"/>
      <c r="IV168" s="155"/>
    </row>
    <row r="169" spans="1:256" ht="15" customHeight="1" thickTop="1">
      <c r="A169" s="259" t="s">
        <v>339</v>
      </c>
      <c r="B169" s="260"/>
      <c r="C169" s="260"/>
      <c r="D169" s="260"/>
      <c r="E169" s="260"/>
      <c r="F169" s="260"/>
      <c r="G169" s="261"/>
      <c r="H169" s="83"/>
      <c r="I169" s="83"/>
      <c r="J169" s="83"/>
      <c r="K169" s="83"/>
      <c r="L169" s="83"/>
      <c r="M169" s="83"/>
      <c r="N169" s="83"/>
      <c r="O169" s="83"/>
    </row>
    <row r="170" spans="1:256" ht="15" customHeight="1">
      <c r="A170" s="193" t="s">
        <v>46</v>
      </c>
      <c r="B170" s="67" t="s">
        <v>47</v>
      </c>
      <c r="C170" s="67" t="s">
        <v>204</v>
      </c>
      <c r="D170" s="67" t="s">
        <v>205</v>
      </c>
      <c r="E170" s="67" t="s">
        <v>206</v>
      </c>
      <c r="F170" s="38" t="s">
        <v>48</v>
      </c>
      <c r="G170" s="194"/>
      <c r="H170" s="83"/>
      <c r="I170" s="83"/>
      <c r="J170" s="83"/>
      <c r="K170" s="83"/>
      <c r="L170" s="83"/>
      <c r="M170" s="83"/>
      <c r="N170" s="83"/>
      <c r="O170" s="83"/>
    </row>
    <row r="171" spans="1:256" ht="15" customHeight="1">
      <c r="A171" s="262">
        <v>1</v>
      </c>
      <c r="B171" s="15">
        <v>9</v>
      </c>
      <c r="C171" s="15">
        <v>0</v>
      </c>
      <c r="D171" s="15">
        <v>0</v>
      </c>
      <c r="E171" s="15">
        <v>0</v>
      </c>
      <c r="F171" s="16">
        <f>SUM(A171:E171)</f>
        <v>10</v>
      </c>
      <c r="G171" s="263" t="s">
        <v>201</v>
      </c>
      <c r="H171" s="83"/>
      <c r="I171" s="83"/>
      <c r="J171" s="83"/>
      <c r="K171" s="83"/>
      <c r="L171" s="83"/>
      <c r="M171" s="83"/>
      <c r="N171" s="83"/>
      <c r="O171" s="83"/>
    </row>
    <row r="172" spans="1:256" ht="15" customHeight="1" thickBot="1">
      <c r="A172" s="264">
        <f>+IF(A171&gt;0,A171/F171,0)</f>
        <v>0.1</v>
      </c>
      <c r="B172" s="17">
        <f>+IF(B171&gt;0,B171/F171,0)</f>
        <v>0.9</v>
      </c>
      <c r="C172" s="17">
        <f>+IF(C171&gt;0,C171/F171,0)</f>
        <v>0</v>
      </c>
      <c r="D172" s="17">
        <f>+IF(D171&gt;0,D171/F171,0)</f>
        <v>0</v>
      </c>
      <c r="E172" s="17">
        <f>+IF(E171&gt;0,E171/F171,0)</f>
        <v>0</v>
      </c>
      <c r="F172" s="18">
        <f>SUM(A172:E172)</f>
        <v>1</v>
      </c>
      <c r="G172" s="265" t="s">
        <v>203</v>
      </c>
      <c r="H172" s="83"/>
      <c r="I172" s="83"/>
      <c r="J172" s="83"/>
      <c r="K172" s="83"/>
      <c r="L172" s="83"/>
      <c r="M172" s="83"/>
      <c r="N172" s="83"/>
      <c r="O172" s="83"/>
    </row>
    <row r="173" spans="1:256" ht="15" customHeight="1" thickTop="1" thickBot="1">
      <c r="A173" s="266">
        <v>2.6</v>
      </c>
      <c r="B173" s="2">
        <v>0.9</v>
      </c>
      <c r="C173" s="2">
        <v>0</v>
      </c>
      <c r="D173" s="2">
        <v>0</v>
      </c>
      <c r="E173" s="19">
        <v>0</v>
      </c>
      <c r="F173" s="20">
        <f>+IF(F171&gt;0,(A171*A173+B171*B173+C171*C173+D171*D173+E171*E173)/F171,0)</f>
        <v>1.0699999999999998</v>
      </c>
      <c r="G173" s="267" t="s">
        <v>41</v>
      </c>
      <c r="H173" s="83"/>
      <c r="I173" s="83"/>
      <c r="J173" s="83"/>
      <c r="K173" s="83"/>
      <c r="L173" s="83"/>
      <c r="M173" s="83"/>
      <c r="N173" s="83"/>
      <c r="O173" s="83"/>
    </row>
    <row r="174" spans="1:256" ht="15" customHeight="1" thickTop="1">
      <c r="A174" s="268">
        <f>+A171*A173</f>
        <v>2.6</v>
      </c>
      <c r="B174" s="21">
        <f t="shared" ref="B174:F174" si="8">+B171*B173</f>
        <v>8.1</v>
      </c>
      <c r="C174" s="21">
        <f t="shared" si="8"/>
        <v>0</v>
      </c>
      <c r="D174" s="21">
        <f t="shared" si="8"/>
        <v>0</v>
      </c>
      <c r="E174" s="21">
        <f t="shared" si="8"/>
        <v>0</v>
      </c>
      <c r="F174" s="22">
        <f t="shared" si="8"/>
        <v>10.7</v>
      </c>
      <c r="G174" s="265" t="s">
        <v>67</v>
      </c>
      <c r="H174" s="83"/>
      <c r="I174" s="83"/>
      <c r="J174" s="83"/>
      <c r="K174" s="83"/>
      <c r="L174" s="83"/>
      <c r="M174" s="83"/>
      <c r="N174" s="83"/>
      <c r="O174" s="83"/>
    </row>
    <row r="175" spans="1:256" ht="15" customHeight="1" thickBot="1">
      <c r="A175" s="269">
        <f>+IF(A174&gt;0,A174/F174,0)</f>
        <v>0.2429906542056075</v>
      </c>
      <c r="B175" s="270">
        <f>+IF(B174&gt;0,B174/F174,0)</f>
        <v>0.7570093457943925</v>
      </c>
      <c r="C175" s="270">
        <f>+IF(C174&gt;0,C174/F174,0)</f>
        <v>0</v>
      </c>
      <c r="D175" s="270">
        <f>+IF(D174&gt;0,D174/F174,0)</f>
        <v>0</v>
      </c>
      <c r="E175" s="270">
        <f>+IF(E174&gt;0,E174/F174,0)</f>
        <v>0</v>
      </c>
      <c r="F175" s="271">
        <f>SUM(A175:E175)</f>
        <v>1</v>
      </c>
      <c r="G175" s="272" t="s">
        <v>202</v>
      </c>
      <c r="H175" s="83"/>
      <c r="I175" s="83"/>
      <c r="J175" s="83"/>
      <c r="K175" s="83"/>
      <c r="L175" s="83"/>
      <c r="M175" s="83"/>
      <c r="N175" s="83"/>
      <c r="O175" s="83"/>
    </row>
    <row r="176" spans="1:256" s="156" customFormat="1" ht="15" customHeight="1" thickTop="1">
      <c r="A176" s="118"/>
      <c r="B176" s="118"/>
      <c r="C176" s="118"/>
      <c r="D176" s="118"/>
      <c r="E176" s="118"/>
      <c r="F176" s="119"/>
      <c r="G176" s="96"/>
      <c r="H176" s="96"/>
      <c r="I176" s="96"/>
      <c r="J176" s="96"/>
      <c r="K176" s="96"/>
      <c r="L176" s="96"/>
      <c r="M176" s="96"/>
      <c r="N176" s="96"/>
      <c r="O176" s="96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55"/>
      <c r="BN176" s="155"/>
      <c r="BO176" s="155"/>
      <c r="BP176" s="155"/>
      <c r="BQ176" s="155"/>
      <c r="BR176" s="155"/>
      <c r="BS176" s="155"/>
      <c r="BT176" s="155"/>
      <c r="BU176" s="155"/>
      <c r="BV176" s="155"/>
      <c r="BW176" s="155"/>
      <c r="BX176" s="155"/>
      <c r="BY176" s="155"/>
      <c r="BZ176" s="155"/>
      <c r="CA176" s="155"/>
      <c r="CB176" s="155"/>
      <c r="CC176" s="155"/>
      <c r="CD176" s="155"/>
      <c r="CE176" s="155"/>
      <c r="CF176" s="155"/>
      <c r="CG176" s="155"/>
      <c r="CH176" s="155"/>
      <c r="CI176" s="155"/>
      <c r="CJ176" s="155"/>
      <c r="CK176" s="155"/>
      <c r="CL176" s="155"/>
      <c r="CM176" s="155"/>
      <c r="CN176" s="155"/>
      <c r="CO176" s="155"/>
      <c r="CP176" s="155"/>
      <c r="CQ176" s="155"/>
      <c r="CR176" s="155"/>
      <c r="CS176" s="155"/>
      <c r="CT176" s="155"/>
      <c r="CU176" s="155"/>
      <c r="CV176" s="155"/>
      <c r="CW176" s="155"/>
      <c r="CX176" s="155"/>
      <c r="CY176" s="155"/>
      <c r="CZ176" s="155"/>
      <c r="DA176" s="155"/>
      <c r="DB176" s="155"/>
      <c r="DC176" s="155"/>
      <c r="DD176" s="155"/>
      <c r="DE176" s="155"/>
      <c r="DF176" s="155"/>
      <c r="DG176" s="155"/>
      <c r="DH176" s="155"/>
      <c r="DI176" s="155"/>
      <c r="DJ176" s="155"/>
      <c r="DK176" s="155"/>
      <c r="DL176" s="155"/>
      <c r="DM176" s="155"/>
      <c r="DN176" s="155"/>
      <c r="DO176" s="155"/>
      <c r="DP176" s="155"/>
      <c r="DQ176" s="155"/>
      <c r="DR176" s="155"/>
      <c r="DS176" s="155"/>
      <c r="DT176" s="155"/>
      <c r="DU176" s="155"/>
      <c r="DV176" s="155"/>
      <c r="DW176" s="155"/>
      <c r="DX176" s="155"/>
      <c r="DY176" s="155"/>
      <c r="DZ176" s="155"/>
      <c r="EA176" s="155"/>
      <c r="EB176" s="155"/>
      <c r="EC176" s="155"/>
      <c r="ED176" s="155"/>
      <c r="EE176" s="155"/>
      <c r="EF176" s="155"/>
      <c r="EG176" s="155"/>
      <c r="EH176" s="155"/>
      <c r="EI176" s="155"/>
      <c r="EJ176" s="155"/>
      <c r="EK176" s="155"/>
      <c r="EL176" s="155"/>
      <c r="EM176" s="155"/>
      <c r="EN176" s="155"/>
      <c r="EO176" s="155"/>
      <c r="EP176" s="155"/>
      <c r="EQ176" s="155"/>
      <c r="ER176" s="155"/>
      <c r="ES176" s="155"/>
      <c r="ET176" s="155"/>
      <c r="EU176" s="155"/>
      <c r="EV176" s="155"/>
      <c r="EW176" s="155"/>
      <c r="EX176" s="155"/>
      <c r="EY176" s="155"/>
      <c r="EZ176" s="155"/>
      <c r="FA176" s="155"/>
      <c r="FB176" s="155"/>
      <c r="FC176" s="155"/>
      <c r="FD176" s="155"/>
      <c r="FE176" s="155"/>
      <c r="FF176" s="155"/>
      <c r="FG176" s="155"/>
      <c r="FH176" s="155"/>
      <c r="FI176" s="155"/>
      <c r="FJ176" s="155"/>
      <c r="FK176" s="155"/>
      <c r="FL176" s="155"/>
      <c r="FM176" s="155"/>
      <c r="FN176" s="155"/>
      <c r="FO176" s="155"/>
      <c r="FP176" s="155"/>
      <c r="FQ176" s="155"/>
      <c r="FR176" s="155"/>
      <c r="FS176" s="155"/>
      <c r="FT176" s="155"/>
      <c r="FU176" s="155"/>
      <c r="FV176" s="155"/>
      <c r="FW176" s="155"/>
      <c r="FX176" s="155"/>
      <c r="FY176" s="155"/>
      <c r="FZ176" s="155"/>
      <c r="GA176" s="155"/>
      <c r="GB176" s="155"/>
      <c r="GC176" s="155"/>
      <c r="GD176" s="155"/>
      <c r="GE176" s="155"/>
      <c r="GF176" s="155"/>
      <c r="GG176" s="155"/>
      <c r="GH176" s="155"/>
      <c r="GI176" s="155"/>
      <c r="GJ176" s="155"/>
      <c r="GK176" s="155"/>
      <c r="GL176" s="155"/>
      <c r="GM176" s="155"/>
      <c r="GN176" s="155"/>
      <c r="GO176" s="155"/>
      <c r="GP176" s="155"/>
      <c r="GQ176" s="155"/>
      <c r="GR176" s="155"/>
      <c r="GS176" s="155"/>
      <c r="GT176" s="155"/>
      <c r="GU176" s="155"/>
      <c r="GV176" s="155"/>
      <c r="GW176" s="155"/>
      <c r="GX176" s="155"/>
      <c r="GY176" s="155"/>
      <c r="GZ176" s="155"/>
      <c r="HA176" s="155"/>
      <c r="HB176" s="155"/>
      <c r="HC176" s="155"/>
      <c r="HD176" s="155"/>
      <c r="HE176" s="155"/>
      <c r="HF176" s="155"/>
      <c r="HG176" s="155"/>
      <c r="HH176" s="155"/>
      <c r="HI176" s="155"/>
      <c r="HJ176" s="155"/>
      <c r="HK176" s="155"/>
      <c r="HL176" s="155"/>
      <c r="HM176" s="155"/>
      <c r="HN176" s="155"/>
      <c r="HO176" s="155"/>
      <c r="HP176" s="155"/>
      <c r="HQ176" s="155"/>
      <c r="HR176" s="155"/>
      <c r="HS176" s="155"/>
      <c r="HT176" s="155"/>
      <c r="HU176" s="155"/>
      <c r="HV176" s="155"/>
      <c r="HW176" s="155"/>
      <c r="HX176" s="155"/>
      <c r="HY176" s="155"/>
      <c r="HZ176" s="155"/>
      <c r="IA176" s="155"/>
      <c r="IB176" s="155"/>
      <c r="IC176" s="155"/>
      <c r="ID176" s="155"/>
      <c r="IE176" s="155"/>
      <c r="IF176" s="155"/>
      <c r="IG176" s="155"/>
      <c r="IH176" s="155"/>
      <c r="II176" s="155"/>
      <c r="IJ176" s="155"/>
      <c r="IK176" s="155"/>
      <c r="IL176" s="155"/>
      <c r="IM176" s="155"/>
      <c r="IN176" s="155"/>
      <c r="IO176" s="155"/>
      <c r="IP176" s="155"/>
      <c r="IQ176" s="155"/>
      <c r="IR176" s="155"/>
      <c r="IS176" s="155"/>
      <c r="IT176" s="155"/>
      <c r="IU176" s="155"/>
      <c r="IV176" s="155"/>
    </row>
    <row r="177" spans="1:256" ht="15" customHeight="1">
      <c r="A177" s="241" t="s">
        <v>193</v>
      </c>
      <c r="B177" s="242"/>
      <c r="C177" s="242"/>
      <c r="D177" s="242"/>
      <c r="E177" s="151"/>
      <c r="F177" s="151"/>
      <c r="G177" s="228"/>
      <c r="H177" s="83"/>
      <c r="I177" s="83"/>
      <c r="J177" s="83"/>
      <c r="K177" s="83"/>
      <c r="L177" s="83"/>
      <c r="M177" s="83"/>
      <c r="N177" s="83"/>
      <c r="O177" s="83"/>
    </row>
    <row r="178" spans="1:256" ht="15" customHeight="1">
      <c r="A178" s="68" t="s">
        <v>194</v>
      </c>
      <c r="B178" s="68" t="s">
        <v>197</v>
      </c>
      <c r="C178" s="68" t="s">
        <v>195</v>
      </c>
      <c r="D178" s="69" t="s">
        <v>49</v>
      </c>
      <c r="E178" s="67" t="s">
        <v>270</v>
      </c>
      <c r="F178" s="67" t="s">
        <v>68</v>
      </c>
      <c r="G178" s="67" t="s">
        <v>68</v>
      </c>
      <c r="H178" s="83"/>
      <c r="I178" s="83"/>
      <c r="J178" s="83"/>
      <c r="K178" s="83"/>
      <c r="L178" s="83"/>
      <c r="M178" s="83"/>
      <c r="N178" s="83"/>
      <c r="O178" s="83"/>
    </row>
    <row r="179" spans="1:256" ht="15" customHeight="1" thickBot="1">
      <c r="A179" s="49" t="s">
        <v>40</v>
      </c>
      <c r="B179" s="49" t="s">
        <v>40</v>
      </c>
      <c r="C179" s="49" t="s">
        <v>40</v>
      </c>
      <c r="D179" s="49" t="s">
        <v>196</v>
      </c>
      <c r="E179" s="49" t="s">
        <v>255</v>
      </c>
      <c r="F179" s="49" t="s">
        <v>271</v>
      </c>
      <c r="G179" s="49" t="s">
        <v>67</v>
      </c>
      <c r="H179" s="83"/>
      <c r="I179" s="83"/>
      <c r="J179" s="83"/>
      <c r="K179" s="83"/>
      <c r="L179" s="83"/>
      <c r="M179" s="83"/>
      <c r="N179" s="83"/>
      <c r="O179" s="83"/>
    </row>
    <row r="180" spans="1:256" ht="15" customHeight="1" thickTop="1" thickBot="1">
      <c r="A180" s="273">
        <v>700</v>
      </c>
      <c r="B180" s="8">
        <v>400</v>
      </c>
      <c r="C180" s="8">
        <v>350</v>
      </c>
      <c r="D180" s="25">
        <f>+(((A180/200)^2)*3.1416)*(B180/100+C180/300)</f>
        <v>198.83710000000002</v>
      </c>
      <c r="E180" s="23">
        <v>0.45</v>
      </c>
      <c r="F180" s="24">
        <v>0.97</v>
      </c>
      <c r="G180" s="145">
        <f>+D180*0.45</f>
        <v>89.476695000000007</v>
      </c>
      <c r="H180" s="83"/>
      <c r="I180" s="83"/>
      <c r="J180" s="83"/>
      <c r="K180" s="83"/>
      <c r="L180" s="83"/>
      <c r="M180" s="83"/>
      <c r="N180" s="83"/>
      <c r="O180" s="83"/>
    </row>
    <row r="181" spans="1:256" s="156" customFormat="1" ht="15" customHeight="1" thickTop="1">
      <c r="A181" s="85"/>
      <c r="B181" s="107"/>
      <c r="C181" s="107"/>
      <c r="D181" s="120"/>
      <c r="E181" s="121"/>
      <c r="F181" s="122"/>
      <c r="G181" s="123"/>
      <c r="H181" s="96"/>
      <c r="I181" s="96"/>
      <c r="J181" s="96"/>
      <c r="K181" s="96"/>
      <c r="L181" s="96"/>
      <c r="M181" s="96"/>
      <c r="N181" s="96"/>
      <c r="O181" s="96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155"/>
      <c r="BX181" s="155"/>
      <c r="BY181" s="155"/>
      <c r="BZ181" s="155"/>
      <c r="CA181" s="155"/>
      <c r="CB181" s="155"/>
      <c r="CC181" s="155"/>
      <c r="CD181" s="155"/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155"/>
      <c r="CO181" s="155"/>
      <c r="CP181" s="155"/>
      <c r="CQ181" s="155"/>
      <c r="CR181" s="155"/>
      <c r="CS181" s="155"/>
      <c r="CT181" s="155"/>
      <c r="CU181" s="155"/>
      <c r="CV181" s="155"/>
      <c r="CW181" s="155"/>
      <c r="CX181" s="155"/>
      <c r="CY181" s="155"/>
      <c r="CZ181" s="155"/>
      <c r="DA181" s="155"/>
      <c r="DB181" s="155"/>
      <c r="DC181" s="155"/>
      <c r="DD181" s="155"/>
      <c r="DE181" s="155"/>
      <c r="DF181" s="155"/>
      <c r="DG181" s="155"/>
      <c r="DH181" s="155"/>
      <c r="DI181" s="155"/>
      <c r="DJ181" s="155"/>
      <c r="DK181" s="155"/>
      <c r="DL181" s="155"/>
      <c r="DM181" s="155"/>
      <c r="DN181" s="155"/>
      <c r="DO181" s="155"/>
      <c r="DP181" s="155"/>
      <c r="DQ181" s="155"/>
      <c r="DR181" s="155"/>
      <c r="DS181" s="155"/>
      <c r="DT181" s="155"/>
      <c r="DU181" s="155"/>
      <c r="DV181" s="155"/>
      <c r="DW181" s="155"/>
      <c r="DX181" s="155"/>
      <c r="DY181" s="155"/>
      <c r="DZ181" s="155"/>
      <c r="EA181" s="155"/>
      <c r="EB181" s="155"/>
      <c r="EC181" s="155"/>
      <c r="ED181" s="155"/>
      <c r="EE181" s="155"/>
      <c r="EF181" s="155"/>
      <c r="EG181" s="155"/>
      <c r="EH181" s="155"/>
      <c r="EI181" s="155"/>
      <c r="EJ181" s="155"/>
      <c r="EK181" s="155"/>
      <c r="EL181" s="155"/>
      <c r="EM181" s="155"/>
      <c r="EN181" s="155"/>
      <c r="EO181" s="155"/>
      <c r="EP181" s="155"/>
      <c r="EQ181" s="155"/>
      <c r="ER181" s="155"/>
      <c r="ES181" s="155"/>
      <c r="ET181" s="155"/>
      <c r="EU181" s="155"/>
      <c r="EV181" s="155"/>
      <c r="EW181" s="155"/>
      <c r="EX181" s="155"/>
      <c r="EY181" s="155"/>
      <c r="EZ181" s="155"/>
      <c r="FA181" s="155"/>
      <c r="FB181" s="155"/>
      <c r="FC181" s="155"/>
      <c r="FD181" s="155"/>
      <c r="FE181" s="155"/>
      <c r="FF181" s="155"/>
      <c r="FG181" s="155"/>
      <c r="FH181" s="155"/>
      <c r="FI181" s="155"/>
      <c r="FJ181" s="155"/>
      <c r="FK181" s="155"/>
      <c r="FL181" s="155"/>
      <c r="FM181" s="155"/>
      <c r="FN181" s="155"/>
      <c r="FO181" s="155"/>
      <c r="FP181" s="155"/>
      <c r="FQ181" s="155"/>
      <c r="FR181" s="155"/>
      <c r="FS181" s="155"/>
      <c r="FT181" s="155"/>
      <c r="FU181" s="155"/>
      <c r="FV181" s="155"/>
      <c r="FW181" s="155"/>
      <c r="FX181" s="155"/>
      <c r="FY181" s="155"/>
      <c r="FZ181" s="155"/>
      <c r="GA181" s="155"/>
      <c r="GB181" s="155"/>
      <c r="GC181" s="155"/>
      <c r="GD181" s="155"/>
      <c r="GE181" s="155"/>
      <c r="GF181" s="155"/>
      <c r="GG181" s="155"/>
      <c r="GH181" s="155"/>
      <c r="GI181" s="155"/>
      <c r="GJ181" s="155"/>
      <c r="GK181" s="155"/>
      <c r="GL181" s="155"/>
      <c r="GM181" s="155"/>
      <c r="GN181" s="155"/>
      <c r="GO181" s="155"/>
      <c r="GP181" s="155"/>
      <c r="GQ181" s="155"/>
      <c r="GR181" s="155"/>
      <c r="GS181" s="155"/>
      <c r="GT181" s="155"/>
      <c r="GU181" s="155"/>
      <c r="GV181" s="155"/>
      <c r="GW181" s="155"/>
      <c r="GX181" s="155"/>
      <c r="GY181" s="155"/>
      <c r="GZ181" s="155"/>
      <c r="HA181" s="155"/>
      <c r="HB181" s="155"/>
      <c r="HC181" s="155"/>
      <c r="HD181" s="155"/>
      <c r="HE181" s="155"/>
      <c r="HF181" s="155"/>
      <c r="HG181" s="155"/>
      <c r="HH181" s="155"/>
      <c r="HI181" s="155"/>
      <c r="HJ181" s="155"/>
      <c r="HK181" s="155"/>
      <c r="HL181" s="155"/>
      <c r="HM181" s="155"/>
      <c r="HN181" s="155"/>
      <c r="HO181" s="155"/>
      <c r="HP181" s="155"/>
      <c r="HQ181" s="155"/>
      <c r="HR181" s="155"/>
      <c r="HS181" s="155"/>
      <c r="HT181" s="155"/>
      <c r="HU181" s="155"/>
      <c r="HV181" s="155"/>
      <c r="HW181" s="155"/>
      <c r="HX181" s="155"/>
      <c r="HY181" s="155"/>
      <c r="HZ181" s="155"/>
      <c r="IA181" s="155"/>
      <c r="IB181" s="155"/>
      <c r="IC181" s="155"/>
      <c r="ID181" s="155"/>
      <c r="IE181" s="155"/>
      <c r="IF181" s="155"/>
      <c r="IG181" s="155"/>
      <c r="IH181" s="155"/>
      <c r="II181" s="155"/>
      <c r="IJ181" s="155"/>
      <c r="IK181" s="155"/>
      <c r="IL181" s="155"/>
      <c r="IM181" s="155"/>
      <c r="IN181" s="155"/>
      <c r="IO181" s="155"/>
      <c r="IP181" s="155"/>
      <c r="IQ181" s="155"/>
      <c r="IR181" s="155"/>
      <c r="IS181" s="155"/>
      <c r="IT181" s="155"/>
      <c r="IU181" s="155"/>
      <c r="IV181" s="155"/>
    </row>
    <row r="182" spans="1:256" ht="15" customHeight="1">
      <c r="A182" s="241" t="s">
        <v>269</v>
      </c>
      <c r="B182" s="242"/>
      <c r="C182" s="242"/>
      <c r="D182" s="242"/>
      <c r="E182" s="151"/>
      <c r="F182" s="151"/>
      <c r="G182" s="228"/>
      <c r="H182" s="83"/>
      <c r="I182" s="83"/>
      <c r="J182" s="83"/>
      <c r="K182" s="83"/>
      <c r="L182" s="83"/>
      <c r="M182" s="83"/>
      <c r="N182" s="83"/>
      <c r="O182" s="83"/>
    </row>
    <row r="183" spans="1:256" ht="15" customHeight="1">
      <c r="A183" s="67" t="s">
        <v>198</v>
      </c>
      <c r="B183" s="67" t="s">
        <v>199</v>
      </c>
      <c r="C183" s="67" t="s">
        <v>200</v>
      </c>
      <c r="D183" s="67" t="s">
        <v>49</v>
      </c>
      <c r="E183" s="67" t="s">
        <v>270</v>
      </c>
      <c r="F183" s="67" t="s">
        <v>68</v>
      </c>
      <c r="G183" s="67" t="s">
        <v>68</v>
      </c>
      <c r="H183" s="83"/>
      <c r="I183" s="83"/>
      <c r="J183" s="83"/>
      <c r="K183" s="83"/>
      <c r="L183" s="83"/>
      <c r="M183" s="83"/>
      <c r="N183" s="83"/>
      <c r="O183" s="83"/>
    </row>
    <row r="184" spans="1:256" ht="15" customHeight="1" thickBot="1">
      <c r="A184" s="49" t="s">
        <v>40</v>
      </c>
      <c r="B184" s="49" t="s">
        <v>40</v>
      </c>
      <c r="C184" s="49" t="s">
        <v>40</v>
      </c>
      <c r="D184" s="49" t="s">
        <v>196</v>
      </c>
      <c r="E184" s="49" t="s">
        <v>255</v>
      </c>
      <c r="F184" s="49" t="s">
        <v>271</v>
      </c>
      <c r="G184" s="49" t="s">
        <v>67</v>
      </c>
      <c r="H184" s="83"/>
      <c r="I184" s="83"/>
      <c r="J184" s="83"/>
      <c r="K184" s="83"/>
      <c r="L184" s="83"/>
      <c r="M184" s="83"/>
      <c r="N184" s="83"/>
      <c r="O184" s="83"/>
    </row>
    <row r="185" spans="1:256" ht="15" customHeight="1" thickTop="1" thickBot="1">
      <c r="A185" s="273">
        <v>700</v>
      </c>
      <c r="B185" s="8">
        <v>400</v>
      </c>
      <c r="C185" s="8">
        <v>350</v>
      </c>
      <c r="D185" s="25">
        <f>+((A185/100)^2)*(B185/100+C185/300)</f>
        <v>253.16666666666669</v>
      </c>
      <c r="E185" s="23">
        <v>0.45</v>
      </c>
      <c r="F185" s="24">
        <v>0.97</v>
      </c>
      <c r="G185" s="29">
        <f>+D185*E185*F185</f>
        <v>110.50725000000001</v>
      </c>
      <c r="H185" s="83"/>
      <c r="I185" s="83"/>
      <c r="J185" s="83"/>
      <c r="K185" s="83"/>
      <c r="L185" s="83"/>
      <c r="M185" s="83"/>
      <c r="N185" s="83"/>
      <c r="O185" s="83"/>
    </row>
    <row r="186" spans="1:256" s="156" customFormat="1" ht="15" customHeight="1" thickTop="1" thickBot="1">
      <c r="A186" s="85"/>
      <c r="B186" s="107"/>
      <c r="C186" s="107"/>
      <c r="D186" s="124"/>
      <c r="E186" s="121"/>
      <c r="F186" s="122"/>
      <c r="G186" s="94"/>
      <c r="H186" s="96"/>
      <c r="I186" s="96"/>
      <c r="J186" s="96"/>
      <c r="K186" s="96"/>
      <c r="L186" s="96"/>
      <c r="M186" s="96"/>
      <c r="N186" s="96"/>
      <c r="O186" s="96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BZ186" s="155"/>
      <c r="CA186" s="155"/>
      <c r="CB186" s="155"/>
      <c r="CC186" s="155"/>
      <c r="CD186" s="155"/>
      <c r="CE186" s="155"/>
      <c r="CF186" s="155"/>
      <c r="CG186" s="155"/>
      <c r="CH186" s="155"/>
      <c r="CI186" s="155"/>
      <c r="CJ186" s="155"/>
      <c r="CK186" s="155"/>
      <c r="CL186" s="155"/>
      <c r="CM186" s="155"/>
      <c r="CN186" s="155"/>
      <c r="CO186" s="155"/>
      <c r="CP186" s="155"/>
      <c r="CQ186" s="155"/>
      <c r="CR186" s="155"/>
      <c r="CS186" s="155"/>
      <c r="CT186" s="155"/>
      <c r="CU186" s="155"/>
      <c r="CV186" s="155"/>
      <c r="CW186" s="155"/>
      <c r="CX186" s="155"/>
      <c r="CY186" s="155"/>
      <c r="CZ186" s="155"/>
      <c r="DA186" s="155"/>
      <c r="DB186" s="155"/>
      <c r="DC186" s="155"/>
      <c r="DD186" s="155"/>
      <c r="DE186" s="155"/>
      <c r="DF186" s="155"/>
      <c r="DG186" s="155"/>
      <c r="DH186" s="155"/>
      <c r="DI186" s="155"/>
      <c r="DJ186" s="155"/>
      <c r="DK186" s="155"/>
      <c r="DL186" s="155"/>
      <c r="DM186" s="155"/>
      <c r="DN186" s="155"/>
      <c r="DO186" s="155"/>
      <c r="DP186" s="155"/>
      <c r="DQ186" s="155"/>
      <c r="DR186" s="155"/>
      <c r="DS186" s="155"/>
      <c r="DT186" s="155"/>
      <c r="DU186" s="155"/>
      <c r="DV186" s="155"/>
      <c r="DW186" s="155"/>
      <c r="DX186" s="155"/>
      <c r="DY186" s="155"/>
      <c r="DZ186" s="155"/>
      <c r="EA186" s="155"/>
      <c r="EB186" s="155"/>
      <c r="EC186" s="155"/>
      <c r="ED186" s="155"/>
      <c r="EE186" s="155"/>
      <c r="EF186" s="155"/>
      <c r="EG186" s="155"/>
      <c r="EH186" s="155"/>
      <c r="EI186" s="155"/>
      <c r="EJ186" s="155"/>
      <c r="EK186" s="155"/>
      <c r="EL186" s="155"/>
      <c r="EM186" s="155"/>
      <c r="EN186" s="155"/>
      <c r="EO186" s="155"/>
      <c r="EP186" s="155"/>
      <c r="EQ186" s="155"/>
      <c r="ER186" s="155"/>
      <c r="ES186" s="155"/>
      <c r="ET186" s="155"/>
      <c r="EU186" s="155"/>
      <c r="EV186" s="155"/>
      <c r="EW186" s="155"/>
      <c r="EX186" s="155"/>
      <c r="EY186" s="155"/>
      <c r="EZ186" s="155"/>
      <c r="FA186" s="155"/>
      <c r="FB186" s="155"/>
      <c r="FC186" s="155"/>
      <c r="FD186" s="155"/>
      <c r="FE186" s="155"/>
      <c r="FF186" s="155"/>
      <c r="FG186" s="155"/>
      <c r="FH186" s="155"/>
      <c r="FI186" s="155"/>
      <c r="FJ186" s="155"/>
      <c r="FK186" s="155"/>
      <c r="FL186" s="155"/>
      <c r="FM186" s="155"/>
      <c r="FN186" s="155"/>
      <c r="FO186" s="155"/>
      <c r="FP186" s="155"/>
      <c r="FQ186" s="155"/>
      <c r="FR186" s="155"/>
      <c r="FS186" s="155"/>
      <c r="FT186" s="155"/>
      <c r="FU186" s="155"/>
      <c r="FV186" s="155"/>
      <c r="FW186" s="155"/>
      <c r="FX186" s="155"/>
      <c r="FY186" s="155"/>
      <c r="FZ186" s="155"/>
      <c r="GA186" s="155"/>
      <c r="GB186" s="155"/>
      <c r="GC186" s="155"/>
      <c r="GD186" s="155"/>
      <c r="GE186" s="155"/>
      <c r="GF186" s="155"/>
      <c r="GG186" s="155"/>
      <c r="GH186" s="155"/>
      <c r="GI186" s="155"/>
      <c r="GJ186" s="155"/>
      <c r="GK186" s="155"/>
      <c r="GL186" s="155"/>
      <c r="GM186" s="155"/>
      <c r="GN186" s="155"/>
      <c r="GO186" s="155"/>
      <c r="GP186" s="155"/>
      <c r="GQ186" s="155"/>
      <c r="GR186" s="155"/>
      <c r="GS186" s="155"/>
      <c r="GT186" s="155"/>
      <c r="GU186" s="155"/>
      <c r="GV186" s="155"/>
      <c r="GW186" s="155"/>
      <c r="GX186" s="155"/>
      <c r="GY186" s="155"/>
      <c r="GZ186" s="155"/>
      <c r="HA186" s="155"/>
      <c r="HB186" s="155"/>
      <c r="HC186" s="155"/>
      <c r="HD186" s="155"/>
      <c r="HE186" s="155"/>
      <c r="HF186" s="155"/>
      <c r="HG186" s="155"/>
      <c r="HH186" s="155"/>
      <c r="HI186" s="155"/>
      <c r="HJ186" s="155"/>
      <c r="HK186" s="155"/>
      <c r="HL186" s="155"/>
      <c r="HM186" s="155"/>
      <c r="HN186" s="155"/>
      <c r="HO186" s="155"/>
      <c r="HP186" s="155"/>
      <c r="HQ186" s="155"/>
      <c r="HR186" s="155"/>
      <c r="HS186" s="155"/>
      <c r="HT186" s="155"/>
      <c r="HU186" s="155"/>
      <c r="HV186" s="155"/>
      <c r="HW186" s="155"/>
      <c r="HX186" s="155"/>
      <c r="HY186" s="155"/>
      <c r="HZ186" s="155"/>
      <c r="IA186" s="155"/>
      <c r="IB186" s="155"/>
      <c r="IC186" s="155"/>
      <c r="ID186" s="155"/>
      <c r="IE186" s="155"/>
      <c r="IF186" s="155"/>
      <c r="IG186" s="155"/>
      <c r="IH186" s="155"/>
      <c r="II186" s="155"/>
      <c r="IJ186" s="155"/>
      <c r="IK186" s="155"/>
      <c r="IL186" s="155"/>
      <c r="IM186" s="155"/>
      <c r="IN186" s="155"/>
      <c r="IO186" s="155"/>
      <c r="IP186" s="155"/>
      <c r="IQ186" s="155"/>
      <c r="IR186" s="155"/>
      <c r="IS186" s="155"/>
      <c r="IT186" s="155"/>
      <c r="IU186" s="155"/>
      <c r="IV186" s="155"/>
    </row>
    <row r="187" spans="1:256" ht="15" customHeight="1" thickTop="1">
      <c r="A187" s="274"/>
      <c r="B187" s="275"/>
      <c r="C187" s="260" t="s">
        <v>343</v>
      </c>
      <c r="D187" s="276"/>
      <c r="E187" s="276"/>
      <c r="F187" s="276"/>
      <c r="G187" s="276"/>
      <c r="H187" s="276"/>
      <c r="I187" s="277"/>
      <c r="J187" s="83"/>
      <c r="K187" s="83"/>
      <c r="L187" s="83"/>
      <c r="M187" s="83"/>
      <c r="N187" s="83"/>
      <c r="O187" s="83"/>
    </row>
    <row r="188" spans="1:256" ht="15" customHeight="1">
      <c r="A188" s="278" t="s">
        <v>129</v>
      </c>
      <c r="B188" s="61"/>
      <c r="C188" s="61"/>
      <c r="D188" s="61"/>
      <c r="E188" s="61"/>
      <c r="F188" s="61"/>
      <c r="G188" s="61"/>
      <c r="H188" s="61"/>
      <c r="I188" s="279"/>
      <c r="J188" s="83"/>
      <c r="K188" s="83"/>
      <c r="L188" s="83"/>
      <c r="M188" s="83"/>
      <c r="N188" s="83"/>
      <c r="O188" s="83"/>
    </row>
    <row r="189" spans="1:256" ht="15" customHeight="1">
      <c r="A189" s="280" t="s">
        <v>160</v>
      </c>
      <c r="B189" s="65" t="s">
        <v>130</v>
      </c>
      <c r="C189" s="65" t="s">
        <v>161</v>
      </c>
      <c r="D189" s="65" t="s">
        <v>165</v>
      </c>
      <c r="E189" s="65" t="s">
        <v>131</v>
      </c>
      <c r="F189" s="65" t="s">
        <v>60</v>
      </c>
      <c r="G189" s="65" t="s">
        <v>105</v>
      </c>
      <c r="H189" s="61"/>
      <c r="I189" s="279"/>
      <c r="J189" s="83"/>
      <c r="K189" s="83"/>
      <c r="L189" s="83"/>
      <c r="M189" s="83"/>
      <c r="N189" s="83"/>
      <c r="O189" s="83"/>
    </row>
    <row r="190" spans="1:256" ht="15" customHeight="1">
      <c r="A190" s="280"/>
      <c r="B190" s="65"/>
      <c r="C190" s="65" t="s">
        <v>132</v>
      </c>
      <c r="D190" s="65" t="s">
        <v>133</v>
      </c>
      <c r="E190" s="65"/>
      <c r="F190" s="65" t="s">
        <v>134</v>
      </c>
      <c r="G190" s="65" t="s">
        <v>135</v>
      </c>
      <c r="H190" s="61"/>
      <c r="I190" s="279"/>
      <c r="J190" s="83"/>
      <c r="K190" s="83"/>
      <c r="L190" s="83"/>
      <c r="M190" s="83"/>
      <c r="N190" s="83"/>
      <c r="O190" s="83"/>
    </row>
    <row r="191" spans="1:256" ht="15" customHeight="1">
      <c r="A191" s="281" t="s">
        <v>40</v>
      </c>
      <c r="B191" s="62"/>
      <c r="C191" s="62" t="s">
        <v>163</v>
      </c>
      <c r="D191" s="62" t="s">
        <v>163</v>
      </c>
      <c r="E191" s="62" t="s">
        <v>163</v>
      </c>
      <c r="F191" s="62" t="s">
        <v>163</v>
      </c>
      <c r="G191" s="62" t="s">
        <v>163</v>
      </c>
      <c r="H191" s="66" t="s">
        <v>164</v>
      </c>
      <c r="I191" s="279"/>
      <c r="J191" s="83"/>
      <c r="K191" s="83"/>
      <c r="L191" s="83"/>
      <c r="M191" s="83"/>
      <c r="N191" s="83"/>
      <c r="O191" s="83"/>
    </row>
    <row r="192" spans="1:256" ht="15" customHeight="1">
      <c r="A192" s="282">
        <v>50</v>
      </c>
      <c r="B192" s="178">
        <v>22</v>
      </c>
      <c r="C192" s="179">
        <f>+A192*0.75</f>
        <v>37.5</v>
      </c>
      <c r="D192" s="179">
        <f>+A192*0.12</f>
        <v>6</v>
      </c>
      <c r="E192" s="179">
        <f>+A192</f>
        <v>50</v>
      </c>
      <c r="F192" s="179">
        <f>+A192*B192</f>
        <v>1100</v>
      </c>
      <c r="G192" s="179">
        <f>+A192*5</f>
        <v>250</v>
      </c>
      <c r="H192" s="61"/>
      <c r="I192" s="279"/>
      <c r="J192" s="83"/>
      <c r="K192" s="83"/>
      <c r="L192" s="83"/>
      <c r="M192" s="83"/>
      <c r="N192" s="83"/>
      <c r="O192" s="83"/>
    </row>
    <row r="193" spans="1:15" ht="15" customHeight="1">
      <c r="A193" s="278" t="s">
        <v>136</v>
      </c>
      <c r="B193" s="61"/>
      <c r="C193" s="61"/>
      <c r="D193" s="61"/>
      <c r="E193" s="61"/>
      <c r="F193" s="61"/>
      <c r="G193" s="61"/>
      <c r="H193" s="61"/>
      <c r="I193" s="279"/>
      <c r="J193" s="83"/>
      <c r="K193" s="83"/>
      <c r="L193" s="83"/>
      <c r="M193" s="83"/>
      <c r="N193" s="83"/>
      <c r="O193" s="83"/>
    </row>
    <row r="194" spans="1:15" ht="15" customHeight="1">
      <c r="A194" s="281" t="s">
        <v>137</v>
      </c>
      <c r="B194" s="62" t="s">
        <v>138</v>
      </c>
      <c r="C194" s="62" t="s">
        <v>139</v>
      </c>
      <c r="D194" s="62" t="s">
        <v>49</v>
      </c>
      <c r="E194" s="62" t="s">
        <v>140</v>
      </c>
      <c r="F194" s="62" t="s">
        <v>141</v>
      </c>
      <c r="G194" s="61"/>
      <c r="H194" s="61"/>
      <c r="I194" s="279"/>
      <c r="J194" s="83"/>
      <c r="K194" s="83"/>
      <c r="L194" s="83"/>
      <c r="M194" s="83"/>
      <c r="N194" s="83"/>
      <c r="O194" s="83"/>
    </row>
    <row r="195" spans="1:15" ht="15" customHeight="1">
      <c r="A195" s="283" t="s">
        <v>142</v>
      </c>
      <c r="B195" s="63" t="s">
        <v>143</v>
      </c>
      <c r="C195" s="63" t="s">
        <v>144</v>
      </c>
      <c r="D195" s="63" t="s">
        <v>145</v>
      </c>
      <c r="E195" s="63" t="s">
        <v>146</v>
      </c>
      <c r="F195" s="63" t="s">
        <v>147</v>
      </c>
      <c r="G195" s="61"/>
      <c r="H195" s="61"/>
      <c r="I195" s="279"/>
      <c r="J195" s="83"/>
      <c r="K195" s="83"/>
      <c r="L195" s="83"/>
      <c r="M195" s="83"/>
      <c r="N195" s="83"/>
      <c r="O195" s="83"/>
    </row>
    <row r="196" spans="1:15" ht="15" customHeight="1">
      <c r="A196" s="281" t="s">
        <v>148</v>
      </c>
      <c r="B196" s="62" t="s">
        <v>148</v>
      </c>
      <c r="C196" s="62" t="s">
        <v>148</v>
      </c>
      <c r="D196" s="62" t="s">
        <v>148</v>
      </c>
      <c r="E196" s="62" t="s">
        <v>148</v>
      </c>
      <c r="F196" s="62" t="s">
        <v>148</v>
      </c>
      <c r="G196" s="61"/>
      <c r="H196" s="61"/>
      <c r="I196" s="279"/>
      <c r="J196" s="83"/>
      <c r="K196" s="83"/>
      <c r="L196" s="83"/>
      <c r="M196" s="83"/>
      <c r="N196" s="83"/>
      <c r="O196" s="83"/>
    </row>
    <row r="197" spans="1:15" ht="15" customHeight="1">
      <c r="A197" s="284">
        <f>3.14*(A192/20)^2*G192/10</f>
        <v>490.625</v>
      </c>
      <c r="B197" s="180">
        <f>3.14*(A192/20)^2*F192/10</f>
        <v>2158.75</v>
      </c>
      <c r="C197" s="180">
        <f>3.14*(C192/20)^2*(F192-B192*D192)/10</f>
        <v>1068.58125</v>
      </c>
      <c r="D197" s="180">
        <f>3.14*(A192/20)^2*(B192*D192)/10</f>
        <v>259.05</v>
      </c>
      <c r="E197" s="180">
        <f>+B197-C197-D197</f>
        <v>831.11875000000009</v>
      </c>
      <c r="F197" s="180">
        <f>+A197+E197</f>
        <v>1321.7437500000001</v>
      </c>
      <c r="G197" s="64"/>
      <c r="H197" s="61"/>
      <c r="I197" s="279"/>
      <c r="J197" s="83"/>
      <c r="K197" s="83"/>
      <c r="L197" s="83"/>
      <c r="M197" s="83"/>
      <c r="N197" s="83"/>
      <c r="O197" s="83"/>
    </row>
    <row r="198" spans="1:15" ht="15" customHeight="1">
      <c r="A198" s="285" t="s">
        <v>149</v>
      </c>
      <c r="B198" s="61"/>
      <c r="C198" s="61"/>
      <c r="D198" s="61"/>
      <c r="E198" s="61"/>
      <c r="F198" s="61"/>
      <c r="G198" s="61"/>
      <c r="H198" s="61"/>
      <c r="I198" s="279"/>
      <c r="J198" s="83"/>
      <c r="K198" s="83"/>
      <c r="L198" s="83"/>
      <c r="M198" s="83"/>
      <c r="N198" s="83"/>
      <c r="O198" s="83"/>
    </row>
    <row r="199" spans="1:15" ht="15" customHeight="1">
      <c r="A199" s="281" t="s">
        <v>68</v>
      </c>
      <c r="B199" s="62" t="s">
        <v>150</v>
      </c>
      <c r="C199" s="62" t="s">
        <v>71</v>
      </c>
      <c r="D199" s="62" t="s">
        <v>151</v>
      </c>
      <c r="E199" s="62" t="s">
        <v>49</v>
      </c>
      <c r="F199" s="62" t="s">
        <v>49</v>
      </c>
      <c r="G199" s="62" t="s">
        <v>105</v>
      </c>
      <c r="H199" s="62" t="s">
        <v>152</v>
      </c>
      <c r="I199" s="286" t="s">
        <v>153</v>
      </c>
      <c r="J199" s="83"/>
      <c r="K199" s="83"/>
      <c r="L199" s="83"/>
      <c r="M199" s="83"/>
      <c r="N199" s="83"/>
      <c r="O199" s="83"/>
    </row>
    <row r="200" spans="1:15" ht="15" customHeight="1">
      <c r="A200" s="283" t="s">
        <v>79</v>
      </c>
      <c r="B200" s="63" t="s">
        <v>154</v>
      </c>
      <c r="C200" s="63" t="s">
        <v>80</v>
      </c>
      <c r="D200" s="63"/>
      <c r="E200" s="63" t="s">
        <v>79</v>
      </c>
      <c r="F200" s="63" t="s">
        <v>151</v>
      </c>
      <c r="G200" s="63" t="s">
        <v>135</v>
      </c>
      <c r="H200" s="63" t="s">
        <v>155</v>
      </c>
      <c r="I200" s="287" t="s">
        <v>156</v>
      </c>
      <c r="J200" s="83"/>
      <c r="K200" s="83"/>
      <c r="L200" s="83"/>
      <c r="M200" s="83"/>
      <c r="N200" s="83"/>
      <c r="O200" s="83"/>
    </row>
    <row r="201" spans="1:15" ht="15" customHeight="1">
      <c r="A201" s="281" t="s">
        <v>42</v>
      </c>
      <c r="B201" s="62"/>
      <c r="C201" s="62" t="s">
        <v>43</v>
      </c>
      <c r="D201" s="62" t="s">
        <v>40</v>
      </c>
      <c r="E201" s="62" t="s">
        <v>148</v>
      </c>
      <c r="F201" s="62" t="s">
        <v>148</v>
      </c>
      <c r="G201" s="62" t="s">
        <v>40</v>
      </c>
      <c r="H201" s="62"/>
      <c r="I201" s="286" t="s">
        <v>43</v>
      </c>
      <c r="J201" s="83"/>
      <c r="K201" s="83"/>
      <c r="L201" s="83"/>
      <c r="M201" s="83"/>
      <c r="N201" s="83"/>
      <c r="O201" s="83"/>
    </row>
    <row r="202" spans="1:15" ht="15" customHeight="1" thickBot="1">
      <c r="A202" s="288">
        <v>100</v>
      </c>
      <c r="B202" s="289">
        <v>0.75</v>
      </c>
      <c r="C202" s="289">
        <v>14</v>
      </c>
      <c r="D202" s="290">
        <v>20</v>
      </c>
      <c r="E202" s="291">
        <f>+A202/B202</f>
        <v>133.33333333333334</v>
      </c>
      <c r="F202" s="291">
        <f>3.14*(A192/20)^2*D202/10</f>
        <v>39.25</v>
      </c>
      <c r="G202" s="291">
        <f>+E202*10/(3.14*(A192/20)^2)</f>
        <v>67.940552016985151</v>
      </c>
      <c r="H202" s="291">
        <f>+(E197+F202)/E202</f>
        <v>6.5277656249999998</v>
      </c>
      <c r="I202" s="292">
        <f>+H202*C202</f>
        <v>91.388718749999995</v>
      </c>
      <c r="J202" s="83"/>
      <c r="K202" s="83"/>
      <c r="L202" s="83"/>
      <c r="M202" s="83"/>
      <c r="N202" s="83"/>
      <c r="O202" s="83"/>
    </row>
    <row r="203" spans="1:15" ht="15" customHeight="1" thickTop="1">
      <c r="A203" s="126"/>
      <c r="B203" s="126"/>
      <c r="C203" s="126"/>
      <c r="D203" s="127"/>
      <c r="E203" s="125"/>
      <c r="F203" s="125"/>
      <c r="G203" s="125"/>
      <c r="H203" s="125"/>
      <c r="I203" s="125"/>
      <c r="J203" s="83"/>
      <c r="K203" s="83"/>
      <c r="L203" s="83"/>
      <c r="M203" s="83"/>
      <c r="N203" s="83"/>
      <c r="O203" s="83"/>
    </row>
    <row r="204" spans="1:15" ht="15" customHeight="1">
      <c r="A204" s="128" t="s">
        <v>89</v>
      </c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</row>
    <row r="205" spans="1:15" ht="15" customHeight="1">
      <c r="A205" s="226" t="s">
        <v>268</v>
      </c>
      <c r="B205" s="151"/>
      <c r="C205" s="151"/>
      <c r="D205" s="151"/>
      <c r="E205" s="151"/>
      <c r="F205" s="228"/>
      <c r="G205" s="83"/>
      <c r="H205" s="83"/>
      <c r="I205" s="83"/>
      <c r="J205" s="83"/>
      <c r="K205" s="83"/>
      <c r="L205" s="83"/>
      <c r="M205" s="83"/>
      <c r="N205" s="83"/>
      <c r="O205" s="83"/>
    </row>
    <row r="206" spans="1:15" ht="15" customHeight="1" thickBot="1">
      <c r="A206" s="49" t="s">
        <v>223</v>
      </c>
      <c r="B206" s="49" t="s">
        <v>40</v>
      </c>
      <c r="C206" s="49" t="s">
        <v>224</v>
      </c>
      <c r="D206" s="49" t="s">
        <v>225</v>
      </c>
      <c r="E206" s="49" t="s">
        <v>226</v>
      </c>
      <c r="F206" s="49" t="s">
        <v>274</v>
      </c>
      <c r="G206" s="83"/>
      <c r="H206" s="83"/>
      <c r="I206" s="83"/>
      <c r="J206" s="83"/>
      <c r="K206" s="83"/>
      <c r="L206" s="83"/>
      <c r="M206" s="83"/>
      <c r="N206" s="83"/>
      <c r="O206" s="83"/>
    </row>
    <row r="207" spans="1:15" ht="15" customHeight="1" thickTop="1" thickBot="1">
      <c r="A207" s="28">
        <v>1</v>
      </c>
      <c r="B207" s="9">
        <f>+A207*1000</f>
        <v>1000</v>
      </c>
      <c r="C207" s="26">
        <f>+B207/25.4</f>
        <v>39.370078740157481</v>
      </c>
      <c r="D207" s="27">
        <f>+C207/12</f>
        <v>3.2808398950131235</v>
      </c>
      <c r="E207" s="141">
        <f>+D207/5280</f>
        <v>6.2137119223733403E-4</v>
      </c>
      <c r="F207" s="141">
        <f>+A207/1952</f>
        <v>5.1229508196721314E-4</v>
      </c>
      <c r="G207" s="83"/>
      <c r="H207" s="83"/>
      <c r="I207" s="83"/>
      <c r="J207" s="83"/>
      <c r="K207" s="83"/>
      <c r="L207" s="83"/>
      <c r="M207" s="83"/>
      <c r="N207" s="83"/>
      <c r="O207" s="83"/>
    </row>
    <row r="208" spans="1:15" ht="15" customHeight="1" thickTop="1" thickBot="1">
      <c r="A208" s="26">
        <f>+C208*0.0254</f>
        <v>1E-3</v>
      </c>
      <c r="B208" s="6">
        <v>1</v>
      </c>
      <c r="C208" s="26">
        <f>+B208/25.4</f>
        <v>3.937007874015748E-2</v>
      </c>
      <c r="D208" s="27">
        <f>+C208/12</f>
        <v>3.2808398950131233E-3</v>
      </c>
      <c r="E208" s="141">
        <f>+D208/5280</f>
        <v>6.2137119223733397E-7</v>
      </c>
      <c r="F208" s="141">
        <f>+A208/1952</f>
        <v>5.1229508196721316E-7</v>
      </c>
      <c r="G208" s="83"/>
      <c r="H208" s="83"/>
      <c r="I208" s="83"/>
      <c r="J208" s="83"/>
      <c r="K208" s="83"/>
      <c r="L208" s="83"/>
      <c r="M208" s="83"/>
      <c r="N208" s="83"/>
      <c r="O208" s="83"/>
    </row>
    <row r="209" spans="1:256" ht="15" customHeight="1" thickTop="1" thickBot="1">
      <c r="A209" s="26">
        <f>+C209*0.0254</f>
        <v>2.5399999999999999E-2</v>
      </c>
      <c r="B209" s="9">
        <f t="shared" ref="B209:B212" si="9">+A209*1000</f>
        <v>25.4</v>
      </c>
      <c r="C209" s="28">
        <v>1</v>
      </c>
      <c r="D209" s="29">
        <f>+C209/12</f>
        <v>8.3333333333333329E-2</v>
      </c>
      <c r="E209" s="141">
        <f>+D209/5280</f>
        <v>1.5782828282828283E-5</v>
      </c>
      <c r="F209" s="141">
        <f>+E209/5280</f>
        <v>2.9891720232629325E-9</v>
      </c>
      <c r="G209" s="83"/>
      <c r="H209" s="83"/>
      <c r="I209" s="83"/>
      <c r="J209" s="83"/>
      <c r="K209" s="83"/>
      <c r="L209" s="83"/>
      <c r="M209" s="83"/>
      <c r="N209" s="83"/>
      <c r="O209" s="83"/>
    </row>
    <row r="210" spans="1:256" ht="15" customHeight="1" thickTop="1" thickBot="1">
      <c r="A210" s="30">
        <f>+C210*0.0254</f>
        <v>0.30479999999999996</v>
      </c>
      <c r="B210" s="9">
        <f t="shared" si="9"/>
        <v>304.79999999999995</v>
      </c>
      <c r="C210" s="30">
        <f>+D210*12</f>
        <v>12</v>
      </c>
      <c r="D210" s="8">
        <v>1</v>
      </c>
      <c r="E210" s="141">
        <f>+D210/5280</f>
        <v>1.8939393939393939E-4</v>
      </c>
      <c r="F210" s="141">
        <f>+E210/5280</f>
        <v>3.5870064279155189E-8</v>
      </c>
      <c r="G210" s="83"/>
      <c r="H210" s="83"/>
      <c r="I210" s="83"/>
      <c r="J210" s="83"/>
      <c r="K210" s="83"/>
      <c r="L210" s="83"/>
      <c r="M210" s="83"/>
      <c r="N210" s="83"/>
      <c r="O210" s="83"/>
    </row>
    <row r="211" spans="1:256" ht="15" customHeight="1" thickTop="1" thickBot="1">
      <c r="A211" s="30">
        <f>+C211*0.0254</f>
        <v>1609.3439999999998</v>
      </c>
      <c r="B211" s="9">
        <f t="shared" si="9"/>
        <v>1609343.9999999998</v>
      </c>
      <c r="C211" s="30">
        <f>+D211*12</f>
        <v>63360</v>
      </c>
      <c r="D211" s="29">
        <f>+E211*5280</f>
        <v>5280</v>
      </c>
      <c r="E211" s="142">
        <v>1</v>
      </c>
      <c r="F211" s="141">
        <f>+E211/5280</f>
        <v>1.8939393939393939E-4</v>
      </c>
      <c r="G211" s="83"/>
      <c r="H211" s="83"/>
      <c r="I211" s="83"/>
      <c r="J211" s="83"/>
      <c r="K211" s="83"/>
      <c r="L211" s="83"/>
      <c r="M211" s="83"/>
      <c r="N211" s="83"/>
      <c r="O211" s="83"/>
    </row>
    <row r="212" spans="1:256" ht="15" customHeight="1" thickTop="1" thickBot="1">
      <c r="A212" s="30">
        <f>+F212*1952</f>
        <v>1952</v>
      </c>
      <c r="B212" s="9">
        <f t="shared" si="9"/>
        <v>1952000</v>
      </c>
      <c r="C212" s="30">
        <f>+A212/0.0254</f>
        <v>76850.393700787405</v>
      </c>
      <c r="D212" s="27">
        <f>+C212/12</f>
        <v>6404.1994750656168</v>
      </c>
      <c r="E212" s="141">
        <f>+D212/5280</f>
        <v>1.2129165672472759</v>
      </c>
      <c r="F212" s="142">
        <v>1</v>
      </c>
      <c r="G212" s="83"/>
      <c r="H212" s="83"/>
      <c r="I212" s="83"/>
      <c r="J212" s="83"/>
      <c r="K212" s="83"/>
      <c r="L212" s="83"/>
      <c r="M212" s="83"/>
      <c r="N212" s="83"/>
      <c r="O212" s="83"/>
    </row>
    <row r="213" spans="1:256" s="156" customFormat="1" ht="15" customHeight="1" thickTop="1">
      <c r="A213" s="89"/>
      <c r="B213" s="89"/>
      <c r="C213" s="94"/>
      <c r="D213" s="122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55"/>
      <c r="BA213" s="155"/>
      <c r="BB213" s="155"/>
      <c r="BC213" s="155"/>
      <c r="BD213" s="155"/>
      <c r="BE213" s="155"/>
      <c r="BF213" s="155"/>
      <c r="BG213" s="155"/>
      <c r="BH213" s="155"/>
      <c r="BI213" s="155"/>
      <c r="BJ213" s="155"/>
      <c r="BK213" s="155"/>
      <c r="BL213" s="155"/>
      <c r="BM213" s="155"/>
      <c r="BN213" s="155"/>
      <c r="BO213" s="155"/>
      <c r="BP213" s="155"/>
      <c r="BQ213" s="155"/>
      <c r="BR213" s="155"/>
      <c r="BS213" s="155"/>
      <c r="BT213" s="155"/>
      <c r="BU213" s="155"/>
      <c r="BV213" s="155"/>
      <c r="BW213" s="155"/>
      <c r="BX213" s="155"/>
      <c r="BY213" s="155"/>
      <c r="BZ213" s="155"/>
      <c r="CA213" s="155"/>
      <c r="CB213" s="155"/>
      <c r="CC213" s="155"/>
      <c r="CD213" s="155"/>
      <c r="CE213" s="155"/>
      <c r="CF213" s="155"/>
      <c r="CG213" s="155"/>
      <c r="CH213" s="155"/>
      <c r="CI213" s="155"/>
      <c r="CJ213" s="155"/>
      <c r="CK213" s="155"/>
      <c r="CL213" s="155"/>
      <c r="CM213" s="155"/>
      <c r="CN213" s="155"/>
      <c r="CO213" s="155"/>
      <c r="CP213" s="155"/>
      <c r="CQ213" s="155"/>
      <c r="CR213" s="155"/>
      <c r="CS213" s="155"/>
      <c r="CT213" s="155"/>
      <c r="CU213" s="155"/>
      <c r="CV213" s="155"/>
      <c r="CW213" s="155"/>
      <c r="CX213" s="155"/>
      <c r="CY213" s="155"/>
      <c r="CZ213" s="155"/>
      <c r="DA213" s="155"/>
      <c r="DB213" s="155"/>
      <c r="DC213" s="155"/>
      <c r="DD213" s="155"/>
      <c r="DE213" s="155"/>
      <c r="DF213" s="155"/>
      <c r="DG213" s="155"/>
      <c r="DH213" s="155"/>
      <c r="DI213" s="155"/>
      <c r="DJ213" s="155"/>
      <c r="DK213" s="155"/>
      <c r="DL213" s="155"/>
      <c r="DM213" s="155"/>
      <c r="DN213" s="155"/>
      <c r="DO213" s="155"/>
      <c r="DP213" s="155"/>
      <c r="DQ213" s="155"/>
      <c r="DR213" s="155"/>
      <c r="DS213" s="155"/>
      <c r="DT213" s="155"/>
      <c r="DU213" s="155"/>
      <c r="DV213" s="155"/>
      <c r="DW213" s="155"/>
      <c r="DX213" s="155"/>
      <c r="DY213" s="155"/>
      <c r="DZ213" s="155"/>
      <c r="EA213" s="155"/>
      <c r="EB213" s="155"/>
      <c r="EC213" s="155"/>
      <c r="ED213" s="155"/>
      <c r="EE213" s="155"/>
      <c r="EF213" s="155"/>
      <c r="EG213" s="155"/>
      <c r="EH213" s="155"/>
      <c r="EI213" s="155"/>
      <c r="EJ213" s="155"/>
      <c r="EK213" s="155"/>
      <c r="EL213" s="155"/>
      <c r="EM213" s="155"/>
      <c r="EN213" s="155"/>
      <c r="EO213" s="155"/>
      <c r="EP213" s="155"/>
      <c r="EQ213" s="155"/>
      <c r="ER213" s="155"/>
      <c r="ES213" s="155"/>
      <c r="ET213" s="155"/>
      <c r="EU213" s="155"/>
      <c r="EV213" s="155"/>
      <c r="EW213" s="155"/>
      <c r="EX213" s="155"/>
      <c r="EY213" s="155"/>
      <c r="EZ213" s="155"/>
      <c r="FA213" s="155"/>
      <c r="FB213" s="155"/>
      <c r="FC213" s="155"/>
      <c r="FD213" s="155"/>
      <c r="FE213" s="155"/>
      <c r="FF213" s="155"/>
      <c r="FG213" s="155"/>
      <c r="FH213" s="155"/>
      <c r="FI213" s="155"/>
      <c r="FJ213" s="155"/>
      <c r="FK213" s="155"/>
      <c r="FL213" s="155"/>
      <c r="FM213" s="155"/>
      <c r="FN213" s="155"/>
      <c r="FO213" s="155"/>
      <c r="FP213" s="155"/>
      <c r="FQ213" s="155"/>
      <c r="FR213" s="155"/>
      <c r="FS213" s="155"/>
      <c r="FT213" s="155"/>
      <c r="FU213" s="155"/>
      <c r="FV213" s="155"/>
      <c r="FW213" s="155"/>
      <c r="FX213" s="155"/>
      <c r="FY213" s="155"/>
      <c r="FZ213" s="155"/>
      <c r="GA213" s="155"/>
      <c r="GB213" s="155"/>
      <c r="GC213" s="155"/>
      <c r="GD213" s="155"/>
      <c r="GE213" s="155"/>
      <c r="GF213" s="155"/>
      <c r="GG213" s="155"/>
      <c r="GH213" s="155"/>
      <c r="GI213" s="155"/>
      <c r="GJ213" s="155"/>
      <c r="GK213" s="155"/>
      <c r="GL213" s="155"/>
      <c r="GM213" s="155"/>
      <c r="GN213" s="155"/>
      <c r="GO213" s="155"/>
      <c r="GP213" s="155"/>
      <c r="GQ213" s="155"/>
      <c r="GR213" s="155"/>
      <c r="GS213" s="155"/>
      <c r="GT213" s="155"/>
      <c r="GU213" s="155"/>
      <c r="GV213" s="155"/>
      <c r="GW213" s="155"/>
      <c r="GX213" s="155"/>
      <c r="GY213" s="155"/>
      <c r="GZ213" s="155"/>
      <c r="HA213" s="155"/>
      <c r="HB213" s="155"/>
      <c r="HC213" s="155"/>
      <c r="HD213" s="155"/>
      <c r="HE213" s="155"/>
      <c r="HF213" s="155"/>
      <c r="HG213" s="155"/>
      <c r="HH213" s="155"/>
      <c r="HI213" s="155"/>
      <c r="HJ213" s="155"/>
      <c r="HK213" s="155"/>
      <c r="HL213" s="155"/>
      <c r="HM213" s="155"/>
      <c r="HN213" s="155"/>
      <c r="HO213" s="155"/>
      <c r="HP213" s="155"/>
      <c r="HQ213" s="155"/>
      <c r="HR213" s="155"/>
      <c r="HS213" s="155"/>
      <c r="HT213" s="155"/>
      <c r="HU213" s="155"/>
      <c r="HV213" s="155"/>
      <c r="HW213" s="155"/>
      <c r="HX213" s="155"/>
      <c r="HY213" s="155"/>
      <c r="HZ213" s="155"/>
      <c r="IA213" s="155"/>
      <c r="IB213" s="155"/>
      <c r="IC213" s="155"/>
      <c r="ID213" s="155"/>
      <c r="IE213" s="155"/>
      <c r="IF213" s="155"/>
      <c r="IG213" s="155"/>
      <c r="IH213" s="155"/>
      <c r="II213" s="155"/>
      <c r="IJ213" s="155"/>
      <c r="IK213" s="155"/>
      <c r="IL213" s="155"/>
      <c r="IM213" s="155"/>
      <c r="IN213" s="155"/>
      <c r="IO213" s="155"/>
      <c r="IP213" s="155"/>
      <c r="IQ213" s="155"/>
      <c r="IR213" s="155"/>
      <c r="IS213" s="155"/>
      <c r="IT213" s="155"/>
      <c r="IU213" s="155"/>
      <c r="IV213" s="155"/>
    </row>
    <row r="214" spans="1:256" s="156" customFormat="1" ht="15" customHeight="1">
      <c r="A214" s="226" t="s">
        <v>290</v>
      </c>
      <c r="B214" s="151"/>
      <c r="C214" s="151"/>
      <c r="D214" s="151"/>
      <c r="E214" s="151"/>
      <c r="F214" s="228"/>
      <c r="G214" s="96"/>
      <c r="H214" s="96"/>
      <c r="I214" s="96"/>
      <c r="J214" s="96"/>
      <c r="K214" s="96"/>
      <c r="L214" s="96"/>
      <c r="M214" s="96"/>
      <c r="N214" s="96"/>
      <c r="O214" s="96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  <c r="BI214" s="155"/>
      <c r="BJ214" s="155"/>
      <c r="BK214" s="155"/>
      <c r="BL214" s="155"/>
      <c r="BM214" s="155"/>
      <c r="BN214" s="155"/>
      <c r="BO214" s="155"/>
      <c r="BP214" s="155"/>
      <c r="BQ214" s="155"/>
      <c r="BR214" s="155"/>
      <c r="BS214" s="155"/>
      <c r="BT214" s="155"/>
      <c r="BU214" s="155"/>
      <c r="BV214" s="155"/>
      <c r="BW214" s="155"/>
      <c r="BX214" s="155"/>
      <c r="BY214" s="155"/>
      <c r="BZ214" s="155"/>
      <c r="CA214" s="155"/>
      <c r="CB214" s="155"/>
      <c r="CC214" s="155"/>
      <c r="CD214" s="155"/>
      <c r="CE214" s="155"/>
      <c r="CF214" s="155"/>
      <c r="CG214" s="155"/>
      <c r="CH214" s="155"/>
      <c r="CI214" s="155"/>
      <c r="CJ214" s="155"/>
      <c r="CK214" s="155"/>
      <c r="CL214" s="155"/>
      <c r="CM214" s="155"/>
      <c r="CN214" s="155"/>
      <c r="CO214" s="155"/>
      <c r="CP214" s="155"/>
      <c r="CQ214" s="155"/>
      <c r="CR214" s="155"/>
      <c r="CS214" s="155"/>
      <c r="CT214" s="155"/>
      <c r="CU214" s="155"/>
      <c r="CV214" s="155"/>
      <c r="CW214" s="155"/>
      <c r="CX214" s="155"/>
      <c r="CY214" s="155"/>
      <c r="CZ214" s="155"/>
      <c r="DA214" s="155"/>
      <c r="DB214" s="155"/>
      <c r="DC214" s="155"/>
      <c r="DD214" s="155"/>
      <c r="DE214" s="155"/>
      <c r="DF214" s="155"/>
      <c r="DG214" s="155"/>
      <c r="DH214" s="155"/>
      <c r="DI214" s="155"/>
      <c r="DJ214" s="155"/>
      <c r="DK214" s="155"/>
      <c r="DL214" s="155"/>
      <c r="DM214" s="155"/>
      <c r="DN214" s="155"/>
      <c r="DO214" s="155"/>
      <c r="DP214" s="155"/>
      <c r="DQ214" s="155"/>
      <c r="DR214" s="155"/>
      <c r="DS214" s="155"/>
      <c r="DT214" s="155"/>
      <c r="DU214" s="155"/>
      <c r="DV214" s="155"/>
      <c r="DW214" s="155"/>
      <c r="DX214" s="155"/>
      <c r="DY214" s="155"/>
      <c r="DZ214" s="155"/>
      <c r="EA214" s="155"/>
      <c r="EB214" s="155"/>
      <c r="EC214" s="155"/>
      <c r="ED214" s="155"/>
      <c r="EE214" s="155"/>
      <c r="EF214" s="155"/>
      <c r="EG214" s="155"/>
      <c r="EH214" s="155"/>
      <c r="EI214" s="155"/>
      <c r="EJ214" s="155"/>
      <c r="EK214" s="155"/>
      <c r="EL214" s="155"/>
      <c r="EM214" s="155"/>
      <c r="EN214" s="155"/>
      <c r="EO214" s="155"/>
      <c r="EP214" s="155"/>
      <c r="EQ214" s="155"/>
      <c r="ER214" s="155"/>
      <c r="ES214" s="155"/>
      <c r="ET214" s="155"/>
      <c r="EU214" s="155"/>
      <c r="EV214" s="155"/>
      <c r="EW214" s="155"/>
      <c r="EX214" s="155"/>
      <c r="EY214" s="155"/>
      <c r="EZ214" s="155"/>
      <c r="FA214" s="155"/>
      <c r="FB214" s="155"/>
      <c r="FC214" s="155"/>
      <c r="FD214" s="155"/>
      <c r="FE214" s="155"/>
      <c r="FF214" s="155"/>
      <c r="FG214" s="155"/>
      <c r="FH214" s="155"/>
      <c r="FI214" s="155"/>
      <c r="FJ214" s="155"/>
      <c r="FK214" s="155"/>
      <c r="FL214" s="155"/>
      <c r="FM214" s="155"/>
      <c r="FN214" s="155"/>
      <c r="FO214" s="155"/>
      <c r="FP214" s="155"/>
      <c r="FQ214" s="155"/>
      <c r="FR214" s="155"/>
      <c r="FS214" s="155"/>
      <c r="FT214" s="155"/>
      <c r="FU214" s="155"/>
      <c r="FV214" s="155"/>
      <c r="FW214" s="155"/>
      <c r="FX214" s="155"/>
      <c r="FY214" s="155"/>
      <c r="FZ214" s="155"/>
      <c r="GA214" s="155"/>
      <c r="GB214" s="155"/>
      <c r="GC214" s="155"/>
      <c r="GD214" s="155"/>
      <c r="GE214" s="155"/>
      <c r="GF214" s="155"/>
      <c r="GG214" s="155"/>
      <c r="GH214" s="155"/>
      <c r="GI214" s="155"/>
      <c r="GJ214" s="155"/>
      <c r="GK214" s="155"/>
      <c r="GL214" s="155"/>
      <c r="GM214" s="155"/>
      <c r="GN214" s="155"/>
      <c r="GO214" s="155"/>
      <c r="GP214" s="155"/>
      <c r="GQ214" s="155"/>
      <c r="GR214" s="155"/>
      <c r="GS214" s="155"/>
      <c r="GT214" s="155"/>
      <c r="GU214" s="155"/>
      <c r="GV214" s="155"/>
      <c r="GW214" s="155"/>
      <c r="GX214" s="155"/>
      <c r="GY214" s="155"/>
      <c r="GZ214" s="155"/>
      <c r="HA214" s="155"/>
      <c r="HB214" s="155"/>
      <c r="HC214" s="155"/>
      <c r="HD214" s="155"/>
      <c r="HE214" s="155"/>
      <c r="HF214" s="155"/>
      <c r="HG214" s="155"/>
      <c r="HH214" s="155"/>
      <c r="HI214" s="155"/>
      <c r="HJ214" s="155"/>
      <c r="HK214" s="155"/>
      <c r="HL214" s="155"/>
      <c r="HM214" s="155"/>
      <c r="HN214" s="155"/>
      <c r="HO214" s="155"/>
      <c r="HP214" s="155"/>
      <c r="HQ214" s="155"/>
      <c r="HR214" s="155"/>
      <c r="HS214" s="155"/>
      <c r="HT214" s="155"/>
      <c r="HU214" s="155"/>
      <c r="HV214" s="155"/>
      <c r="HW214" s="155"/>
      <c r="HX214" s="155"/>
      <c r="HY214" s="155"/>
      <c r="HZ214" s="155"/>
      <c r="IA214" s="155"/>
      <c r="IB214" s="155"/>
      <c r="IC214" s="155"/>
      <c r="ID214" s="155"/>
      <c r="IE214" s="155"/>
      <c r="IF214" s="155"/>
      <c r="IG214" s="155"/>
      <c r="IH214" s="155"/>
      <c r="II214" s="155"/>
      <c r="IJ214" s="155"/>
      <c r="IK214" s="155"/>
      <c r="IL214" s="155"/>
      <c r="IM214" s="155"/>
      <c r="IN214" s="155"/>
      <c r="IO214" s="155"/>
      <c r="IP214" s="155"/>
      <c r="IQ214" s="155"/>
      <c r="IR214" s="155"/>
      <c r="IS214" s="155"/>
      <c r="IT214" s="155"/>
      <c r="IU214" s="155"/>
      <c r="IV214" s="155"/>
    </row>
    <row r="215" spans="1:256" s="156" customFormat="1" ht="15" customHeight="1" thickBot="1">
      <c r="A215" s="49" t="s">
        <v>283</v>
      </c>
      <c r="B215" s="49" t="s">
        <v>291</v>
      </c>
      <c r="C215" s="49" t="s">
        <v>293</v>
      </c>
      <c r="D215" s="49" t="s">
        <v>285</v>
      </c>
      <c r="E215" s="49" t="s">
        <v>292</v>
      </c>
      <c r="F215" s="49" t="s">
        <v>295</v>
      </c>
      <c r="G215" s="96"/>
      <c r="H215" s="96"/>
      <c r="I215" s="96"/>
      <c r="J215" s="96"/>
      <c r="K215" s="96"/>
      <c r="L215" s="96"/>
      <c r="M215" s="96"/>
      <c r="N215" s="96"/>
      <c r="O215" s="96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155"/>
      <c r="BD215" s="155"/>
      <c r="BE215" s="155"/>
      <c r="BF215" s="155"/>
      <c r="BG215" s="155"/>
      <c r="BH215" s="155"/>
      <c r="BI215" s="155"/>
      <c r="BJ215" s="155"/>
      <c r="BK215" s="155"/>
      <c r="BL215" s="155"/>
      <c r="BM215" s="155"/>
      <c r="BN215" s="155"/>
      <c r="BO215" s="155"/>
      <c r="BP215" s="155"/>
      <c r="BQ215" s="155"/>
      <c r="BR215" s="155"/>
      <c r="BS215" s="155"/>
      <c r="BT215" s="155"/>
      <c r="BU215" s="155"/>
      <c r="BV215" s="155"/>
      <c r="BW215" s="155"/>
      <c r="BX215" s="155"/>
      <c r="BY215" s="155"/>
      <c r="BZ215" s="155"/>
      <c r="CA215" s="155"/>
      <c r="CB215" s="155"/>
      <c r="CC215" s="155"/>
      <c r="CD215" s="155"/>
      <c r="CE215" s="155"/>
      <c r="CF215" s="155"/>
      <c r="CG215" s="155"/>
      <c r="CH215" s="155"/>
      <c r="CI215" s="155"/>
      <c r="CJ215" s="155"/>
      <c r="CK215" s="155"/>
      <c r="CL215" s="155"/>
      <c r="CM215" s="155"/>
      <c r="CN215" s="155"/>
      <c r="CO215" s="155"/>
      <c r="CP215" s="155"/>
      <c r="CQ215" s="155"/>
      <c r="CR215" s="155"/>
      <c r="CS215" s="155"/>
      <c r="CT215" s="155"/>
      <c r="CU215" s="155"/>
      <c r="CV215" s="155"/>
      <c r="CW215" s="155"/>
      <c r="CX215" s="155"/>
      <c r="CY215" s="155"/>
      <c r="CZ215" s="155"/>
      <c r="DA215" s="155"/>
      <c r="DB215" s="155"/>
      <c r="DC215" s="155"/>
      <c r="DD215" s="155"/>
      <c r="DE215" s="155"/>
      <c r="DF215" s="155"/>
      <c r="DG215" s="155"/>
      <c r="DH215" s="155"/>
      <c r="DI215" s="155"/>
      <c r="DJ215" s="155"/>
      <c r="DK215" s="155"/>
      <c r="DL215" s="155"/>
      <c r="DM215" s="155"/>
      <c r="DN215" s="155"/>
      <c r="DO215" s="155"/>
      <c r="DP215" s="155"/>
      <c r="DQ215" s="155"/>
      <c r="DR215" s="155"/>
      <c r="DS215" s="155"/>
      <c r="DT215" s="155"/>
      <c r="DU215" s="155"/>
      <c r="DV215" s="155"/>
      <c r="DW215" s="155"/>
      <c r="DX215" s="155"/>
      <c r="DY215" s="155"/>
      <c r="DZ215" s="155"/>
      <c r="EA215" s="155"/>
      <c r="EB215" s="155"/>
      <c r="EC215" s="155"/>
      <c r="ED215" s="155"/>
      <c r="EE215" s="155"/>
      <c r="EF215" s="155"/>
      <c r="EG215" s="155"/>
      <c r="EH215" s="155"/>
      <c r="EI215" s="155"/>
      <c r="EJ215" s="155"/>
      <c r="EK215" s="155"/>
      <c r="EL215" s="155"/>
      <c r="EM215" s="155"/>
      <c r="EN215" s="155"/>
      <c r="EO215" s="155"/>
      <c r="EP215" s="155"/>
      <c r="EQ215" s="155"/>
      <c r="ER215" s="155"/>
      <c r="ES215" s="155"/>
      <c r="ET215" s="155"/>
      <c r="EU215" s="155"/>
      <c r="EV215" s="155"/>
      <c r="EW215" s="155"/>
      <c r="EX215" s="155"/>
      <c r="EY215" s="155"/>
      <c r="EZ215" s="155"/>
      <c r="FA215" s="155"/>
      <c r="FB215" s="155"/>
      <c r="FC215" s="155"/>
      <c r="FD215" s="155"/>
      <c r="FE215" s="155"/>
      <c r="FF215" s="155"/>
      <c r="FG215" s="155"/>
      <c r="FH215" s="155"/>
      <c r="FI215" s="155"/>
      <c r="FJ215" s="155"/>
      <c r="FK215" s="155"/>
      <c r="FL215" s="155"/>
      <c r="FM215" s="155"/>
      <c r="FN215" s="155"/>
      <c r="FO215" s="155"/>
      <c r="FP215" s="155"/>
      <c r="FQ215" s="155"/>
      <c r="FR215" s="155"/>
      <c r="FS215" s="155"/>
      <c r="FT215" s="155"/>
      <c r="FU215" s="155"/>
      <c r="FV215" s="155"/>
      <c r="FW215" s="155"/>
      <c r="FX215" s="155"/>
      <c r="FY215" s="155"/>
      <c r="FZ215" s="155"/>
      <c r="GA215" s="155"/>
      <c r="GB215" s="155"/>
      <c r="GC215" s="155"/>
      <c r="GD215" s="155"/>
      <c r="GE215" s="155"/>
      <c r="GF215" s="155"/>
      <c r="GG215" s="155"/>
      <c r="GH215" s="155"/>
      <c r="GI215" s="155"/>
      <c r="GJ215" s="155"/>
      <c r="GK215" s="155"/>
      <c r="GL215" s="155"/>
      <c r="GM215" s="155"/>
      <c r="GN215" s="155"/>
      <c r="GO215" s="155"/>
      <c r="GP215" s="155"/>
      <c r="GQ215" s="155"/>
      <c r="GR215" s="155"/>
      <c r="GS215" s="155"/>
      <c r="GT215" s="155"/>
      <c r="GU215" s="155"/>
      <c r="GV215" s="155"/>
      <c r="GW215" s="155"/>
      <c r="GX215" s="155"/>
      <c r="GY215" s="155"/>
      <c r="GZ215" s="155"/>
      <c r="HA215" s="155"/>
      <c r="HB215" s="155"/>
      <c r="HC215" s="155"/>
      <c r="HD215" s="155"/>
      <c r="HE215" s="155"/>
      <c r="HF215" s="155"/>
      <c r="HG215" s="155"/>
      <c r="HH215" s="155"/>
      <c r="HI215" s="155"/>
      <c r="HJ215" s="155"/>
      <c r="HK215" s="155"/>
      <c r="HL215" s="155"/>
      <c r="HM215" s="155"/>
      <c r="HN215" s="155"/>
      <c r="HO215" s="155"/>
      <c r="HP215" s="155"/>
      <c r="HQ215" s="155"/>
      <c r="HR215" s="155"/>
      <c r="HS215" s="155"/>
      <c r="HT215" s="155"/>
      <c r="HU215" s="155"/>
      <c r="HV215" s="155"/>
      <c r="HW215" s="155"/>
      <c r="HX215" s="155"/>
      <c r="HY215" s="155"/>
      <c r="HZ215" s="155"/>
      <c r="IA215" s="155"/>
      <c r="IB215" s="155"/>
      <c r="IC215" s="155"/>
      <c r="ID215" s="155"/>
      <c r="IE215" s="155"/>
      <c r="IF215" s="155"/>
      <c r="IG215" s="155"/>
      <c r="IH215" s="155"/>
      <c r="II215" s="155"/>
      <c r="IJ215" s="155"/>
      <c r="IK215" s="155"/>
      <c r="IL215" s="155"/>
      <c r="IM215" s="155"/>
      <c r="IN215" s="155"/>
      <c r="IO215" s="155"/>
      <c r="IP215" s="155"/>
      <c r="IQ215" s="155"/>
      <c r="IR215" s="155"/>
      <c r="IS215" s="155"/>
      <c r="IT215" s="155"/>
      <c r="IU215" s="155"/>
      <c r="IV215" s="155"/>
    </row>
    <row r="216" spans="1:256" ht="15" customHeight="1" thickTop="1" thickBot="1">
      <c r="A216" s="142">
        <v>1</v>
      </c>
      <c r="B216" s="30">
        <f>+A216*10000</f>
        <v>10000</v>
      </c>
      <c r="C216" s="7">
        <f>+A216*1000000</f>
        <v>1000000</v>
      </c>
      <c r="D216" s="30">
        <f>+B216</f>
        <v>10000</v>
      </c>
      <c r="E216" s="30">
        <f>+B216/(2.54*2.54)</f>
        <v>1550.0031000061999</v>
      </c>
      <c r="F216" s="141">
        <f>+E216/144</f>
        <v>10.763910416709722</v>
      </c>
      <c r="G216" s="83"/>
      <c r="H216" s="83"/>
      <c r="I216" s="83"/>
      <c r="J216" s="83"/>
      <c r="K216" s="83"/>
      <c r="L216" s="83"/>
      <c r="M216" s="83"/>
      <c r="N216" s="83"/>
      <c r="O216" s="83"/>
    </row>
    <row r="217" spans="1:256" ht="15" customHeight="1" thickTop="1" thickBot="1">
      <c r="A217" s="141">
        <f>+B217/10000</f>
        <v>1E-4</v>
      </c>
      <c r="B217" s="24">
        <v>1</v>
      </c>
      <c r="C217" s="7">
        <f>+B217*100</f>
        <v>100</v>
      </c>
      <c r="D217" s="30">
        <f>+B217</f>
        <v>1</v>
      </c>
      <c r="E217" s="30">
        <f>+B217/(2.54*2.54)</f>
        <v>0.15500031000062001</v>
      </c>
      <c r="F217" s="141">
        <f t="shared" ref="F217:F219" si="10">+E217/144</f>
        <v>1.0763910416709723E-3</v>
      </c>
      <c r="G217" s="83"/>
      <c r="H217" s="83"/>
      <c r="I217" s="83"/>
      <c r="J217" s="83"/>
      <c r="K217" s="83"/>
      <c r="L217" s="83"/>
      <c r="M217" s="83"/>
      <c r="N217" s="83"/>
      <c r="O217" s="83"/>
    </row>
    <row r="218" spans="1:256" ht="15" customHeight="1" thickTop="1" thickBot="1">
      <c r="A218" s="141">
        <f>+C218/1000000</f>
        <v>9.9999999999999995E-7</v>
      </c>
      <c r="B218" s="30">
        <f>+A218*10000</f>
        <v>0.01</v>
      </c>
      <c r="C218" s="8">
        <v>1</v>
      </c>
      <c r="D218" s="30">
        <f>+B218</f>
        <v>0.01</v>
      </c>
      <c r="E218" s="30">
        <f>+B218/(2.54*2.54)</f>
        <v>1.5500031000062E-3</v>
      </c>
      <c r="F218" s="141">
        <f t="shared" si="10"/>
        <v>1.0763910416709723E-5</v>
      </c>
      <c r="G218" s="83"/>
      <c r="H218" s="83"/>
      <c r="I218" s="83"/>
      <c r="J218" s="83"/>
      <c r="K218" s="83"/>
      <c r="L218" s="83"/>
      <c r="M218" s="83"/>
      <c r="N218" s="83"/>
      <c r="O218" s="83"/>
    </row>
    <row r="219" spans="1:256" ht="15" customHeight="1" thickTop="1" thickBot="1">
      <c r="A219" s="141">
        <f>+D219/10000</f>
        <v>1E-4</v>
      </c>
      <c r="B219" s="30">
        <f t="shared" ref="B219" si="11">+A219*10000</f>
        <v>1</v>
      </c>
      <c r="C219" s="7">
        <f>+B219*100</f>
        <v>100</v>
      </c>
      <c r="D219" s="24">
        <v>1</v>
      </c>
      <c r="E219" s="30">
        <f>+B219/(2.54*2.54)</f>
        <v>0.15500031000062001</v>
      </c>
      <c r="F219" s="141">
        <f t="shared" si="10"/>
        <v>1.0763910416709723E-3</v>
      </c>
      <c r="G219" s="83"/>
      <c r="H219" s="83"/>
      <c r="I219" s="83"/>
      <c r="J219" s="83"/>
      <c r="K219" s="83"/>
      <c r="L219" s="83"/>
      <c r="M219" s="83"/>
      <c r="N219" s="83"/>
      <c r="O219" s="83"/>
    </row>
    <row r="220" spans="1:256" ht="15" customHeight="1" thickTop="1" thickBot="1">
      <c r="A220" s="141">
        <f>+B220/10000</f>
        <v>6.4515999999999998E-4</v>
      </c>
      <c r="B220" s="30">
        <f>+E220*2.54*2.54</f>
        <v>6.4516</v>
      </c>
      <c r="C220" s="7">
        <f>+B220*100</f>
        <v>645.16</v>
      </c>
      <c r="D220" s="27">
        <f>+B220</f>
        <v>6.4516</v>
      </c>
      <c r="E220" s="24">
        <v>1</v>
      </c>
      <c r="F220" s="141">
        <f>+E220/144</f>
        <v>6.9444444444444441E-3</v>
      </c>
      <c r="G220" s="83"/>
      <c r="H220" s="83"/>
      <c r="I220" s="83"/>
      <c r="J220" s="83"/>
      <c r="K220" s="83"/>
      <c r="L220" s="83"/>
      <c r="M220" s="83"/>
      <c r="N220" s="83"/>
      <c r="O220" s="83"/>
    </row>
    <row r="221" spans="1:256" ht="15" customHeight="1" thickTop="1" thickBot="1">
      <c r="A221" s="141">
        <f>+B221/10000</f>
        <v>9.2903039999999992E-2</v>
      </c>
      <c r="B221" s="30">
        <f>+E221*2.54*2.54</f>
        <v>929.03039999999999</v>
      </c>
      <c r="C221" s="7">
        <f>+B221*100</f>
        <v>92903.039999999994</v>
      </c>
      <c r="D221" s="27">
        <f>+B221</f>
        <v>929.03039999999999</v>
      </c>
      <c r="E221" s="30">
        <f>+F221*144</f>
        <v>144</v>
      </c>
      <c r="F221" s="142">
        <v>1</v>
      </c>
      <c r="G221" s="83"/>
      <c r="H221" s="83"/>
      <c r="I221" s="83"/>
      <c r="J221" s="83"/>
      <c r="K221" s="83"/>
      <c r="L221" s="83"/>
      <c r="M221" s="83"/>
      <c r="N221" s="83"/>
      <c r="O221" s="83"/>
    </row>
    <row r="222" spans="1:256" s="156" customFormat="1" ht="15" customHeight="1" thickTop="1">
      <c r="A222" s="89"/>
      <c r="B222" s="89"/>
      <c r="C222" s="94"/>
      <c r="D222" s="122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  <c r="BI222" s="155"/>
      <c r="BJ222" s="155"/>
      <c r="BK222" s="155"/>
      <c r="BL222" s="155"/>
      <c r="BM222" s="155"/>
      <c r="BN222" s="155"/>
      <c r="BO222" s="155"/>
      <c r="BP222" s="155"/>
      <c r="BQ222" s="155"/>
      <c r="BR222" s="155"/>
      <c r="BS222" s="155"/>
      <c r="BT222" s="155"/>
      <c r="BU222" s="155"/>
      <c r="BV222" s="155"/>
      <c r="BW222" s="155"/>
      <c r="BX222" s="155"/>
      <c r="BY222" s="155"/>
      <c r="BZ222" s="155"/>
      <c r="CA222" s="155"/>
      <c r="CB222" s="155"/>
      <c r="CC222" s="155"/>
      <c r="CD222" s="155"/>
      <c r="CE222" s="155"/>
      <c r="CF222" s="155"/>
      <c r="CG222" s="155"/>
      <c r="CH222" s="155"/>
      <c r="CI222" s="155"/>
      <c r="CJ222" s="155"/>
      <c r="CK222" s="155"/>
      <c r="CL222" s="155"/>
      <c r="CM222" s="155"/>
      <c r="CN222" s="155"/>
      <c r="CO222" s="155"/>
      <c r="CP222" s="155"/>
      <c r="CQ222" s="155"/>
      <c r="CR222" s="155"/>
      <c r="CS222" s="155"/>
      <c r="CT222" s="155"/>
      <c r="CU222" s="155"/>
      <c r="CV222" s="155"/>
      <c r="CW222" s="155"/>
      <c r="CX222" s="155"/>
      <c r="CY222" s="155"/>
      <c r="CZ222" s="155"/>
      <c r="DA222" s="155"/>
      <c r="DB222" s="155"/>
      <c r="DC222" s="155"/>
      <c r="DD222" s="155"/>
      <c r="DE222" s="155"/>
      <c r="DF222" s="155"/>
      <c r="DG222" s="155"/>
      <c r="DH222" s="155"/>
      <c r="DI222" s="155"/>
      <c r="DJ222" s="155"/>
      <c r="DK222" s="155"/>
      <c r="DL222" s="155"/>
      <c r="DM222" s="155"/>
      <c r="DN222" s="155"/>
      <c r="DO222" s="155"/>
      <c r="DP222" s="155"/>
      <c r="DQ222" s="155"/>
      <c r="DR222" s="155"/>
      <c r="DS222" s="155"/>
      <c r="DT222" s="155"/>
      <c r="DU222" s="155"/>
      <c r="DV222" s="155"/>
      <c r="DW222" s="155"/>
      <c r="DX222" s="155"/>
      <c r="DY222" s="155"/>
      <c r="DZ222" s="155"/>
      <c r="EA222" s="155"/>
      <c r="EB222" s="155"/>
      <c r="EC222" s="155"/>
      <c r="ED222" s="155"/>
      <c r="EE222" s="155"/>
      <c r="EF222" s="155"/>
      <c r="EG222" s="155"/>
      <c r="EH222" s="155"/>
      <c r="EI222" s="155"/>
      <c r="EJ222" s="155"/>
      <c r="EK222" s="155"/>
      <c r="EL222" s="155"/>
      <c r="EM222" s="155"/>
      <c r="EN222" s="155"/>
      <c r="EO222" s="155"/>
      <c r="EP222" s="155"/>
      <c r="EQ222" s="155"/>
      <c r="ER222" s="155"/>
      <c r="ES222" s="155"/>
      <c r="ET222" s="155"/>
      <c r="EU222" s="155"/>
      <c r="EV222" s="155"/>
      <c r="EW222" s="155"/>
      <c r="EX222" s="155"/>
      <c r="EY222" s="155"/>
      <c r="EZ222" s="155"/>
      <c r="FA222" s="155"/>
      <c r="FB222" s="155"/>
      <c r="FC222" s="155"/>
      <c r="FD222" s="155"/>
      <c r="FE222" s="155"/>
      <c r="FF222" s="155"/>
      <c r="FG222" s="155"/>
      <c r="FH222" s="155"/>
      <c r="FI222" s="155"/>
      <c r="FJ222" s="155"/>
      <c r="FK222" s="155"/>
      <c r="FL222" s="155"/>
      <c r="FM222" s="155"/>
      <c r="FN222" s="155"/>
      <c r="FO222" s="155"/>
      <c r="FP222" s="155"/>
      <c r="FQ222" s="155"/>
      <c r="FR222" s="155"/>
      <c r="FS222" s="155"/>
      <c r="FT222" s="155"/>
      <c r="FU222" s="155"/>
      <c r="FV222" s="155"/>
      <c r="FW222" s="155"/>
      <c r="FX222" s="155"/>
      <c r="FY222" s="155"/>
      <c r="FZ222" s="155"/>
      <c r="GA222" s="155"/>
      <c r="GB222" s="155"/>
      <c r="GC222" s="155"/>
      <c r="GD222" s="155"/>
      <c r="GE222" s="155"/>
      <c r="GF222" s="155"/>
      <c r="GG222" s="155"/>
      <c r="GH222" s="155"/>
      <c r="GI222" s="155"/>
      <c r="GJ222" s="155"/>
      <c r="GK222" s="155"/>
      <c r="GL222" s="155"/>
      <c r="GM222" s="155"/>
      <c r="GN222" s="155"/>
      <c r="GO222" s="155"/>
      <c r="GP222" s="155"/>
      <c r="GQ222" s="155"/>
      <c r="GR222" s="155"/>
      <c r="GS222" s="155"/>
      <c r="GT222" s="155"/>
      <c r="GU222" s="155"/>
      <c r="GV222" s="155"/>
      <c r="GW222" s="155"/>
      <c r="GX222" s="155"/>
      <c r="GY222" s="155"/>
      <c r="GZ222" s="155"/>
      <c r="HA222" s="155"/>
      <c r="HB222" s="155"/>
      <c r="HC222" s="155"/>
      <c r="HD222" s="155"/>
      <c r="HE222" s="155"/>
      <c r="HF222" s="155"/>
      <c r="HG222" s="155"/>
      <c r="HH222" s="155"/>
      <c r="HI222" s="155"/>
      <c r="HJ222" s="155"/>
      <c r="HK222" s="155"/>
      <c r="HL222" s="155"/>
      <c r="HM222" s="155"/>
      <c r="HN222" s="155"/>
      <c r="HO222" s="155"/>
      <c r="HP222" s="155"/>
      <c r="HQ222" s="155"/>
      <c r="HR222" s="155"/>
      <c r="HS222" s="155"/>
      <c r="HT222" s="155"/>
      <c r="HU222" s="155"/>
      <c r="HV222" s="155"/>
      <c r="HW222" s="155"/>
      <c r="HX222" s="155"/>
      <c r="HY222" s="155"/>
      <c r="HZ222" s="155"/>
      <c r="IA222" s="155"/>
      <c r="IB222" s="155"/>
      <c r="IC222" s="155"/>
      <c r="ID222" s="155"/>
      <c r="IE222" s="155"/>
      <c r="IF222" s="155"/>
      <c r="IG222" s="155"/>
      <c r="IH222" s="155"/>
      <c r="II222" s="155"/>
      <c r="IJ222" s="155"/>
      <c r="IK222" s="155"/>
      <c r="IL222" s="155"/>
      <c r="IM222" s="155"/>
      <c r="IN222" s="155"/>
      <c r="IO222" s="155"/>
      <c r="IP222" s="155"/>
      <c r="IQ222" s="155"/>
      <c r="IR222" s="155"/>
      <c r="IS222" s="155"/>
      <c r="IT222" s="155"/>
      <c r="IU222" s="155"/>
      <c r="IV222" s="155"/>
    </row>
    <row r="223" spans="1:256" s="156" customFormat="1" ht="15" customHeight="1">
      <c r="A223" s="226" t="s">
        <v>289</v>
      </c>
      <c r="B223" s="151"/>
      <c r="C223" s="151"/>
      <c r="D223" s="151"/>
      <c r="E223" s="151"/>
      <c r="F223" s="228"/>
      <c r="G223" s="96"/>
      <c r="H223" s="96"/>
      <c r="I223" s="96"/>
      <c r="J223" s="96"/>
      <c r="K223" s="96"/>
      <c r="L223" s="96"/>
      <c r="M223" s="96"/>
      <c r="N223" s="96"/>
      <c r="O223" s="96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  <c r="BI223" s="155"/>
      <c r="BJ223" s="155"/>
      <c r="BK223" s="155"/>
      <c r="BL223" s="155"/>
      <c r="BM223" s="155"/>
      <c r="BN223" s="155"/>
      <c r="BO223" s="155"/>
      <c r="BP223" s="155"/>
      <c r="BQ223" s="155"/>
      <c r="BR223" s="155"/>
      <c r="BS223" s="155"/>
      <c r="BT223" s="155"/>
      <c r="BU223" s="155"/>
      <c r="BV223" s="155"/>
      <c r="BW223" s="155"/>
      <c r="BX223" s="155"/>
      <c r="BY223" s="155"/>
      <c r="BZ223" s="155"/>
      <c r="CA223" s="155"/>
      <c r="CB223" s="155"/>
      <c r="CC223" s="155"/>
      <c r="CD223" s="155"/>
      <c r="CE223" s="155"/>
      <c r="CF223" s="155"/>
      <c r="CG223" s="155"/>
      <c r="CH223" s="155"/>
      <c r="CI223" s="155"/>
      <c r="CJ223" s="155"/>
      <c r="CK223" s="155"/>
      <c r="CL223" s="155"/>
      <c r="CM223" s="155"/>
      <c r="CN223" s="155"/>
      <c r="CO223" s="155"/>
      <c r="CP223" s="155"/>
      <c r="CQ223" s="155"/>
      <c r="CR223" s="155"/>
      <c r="CS223" s="155"/>
      <c r="CT223" s="155"/>
      <c r="CU223" s="155"/>
      <c r="CV223" s="155"/>
      <c r="CW223" s="155"/>
      <c r="CX223" s="155"/>
      <c r="CY223" s="155"/>
      <c r="CZ223" s="155"/>
      <c r="DA223" s="155"/>
      <c r="DB223" s="155"/>
      <c r="DC223" s="155"/>
      <c r="DD223" s="155"/>
      <c r="DE223" s="155"/>
      <c r="DF223" s="155"/>
      <c r="DG223" s="155"/>
      <c r="DH223" s="155"/>
      <c r="DI223" s="155"/>
      <c r="DJ223" s="155"/>
      <c r="DK223" s="155"/>
      <c r="DL223" s="155"/>
      <c r="DM223" s="155"/>
      <c r="DN223" s="155"/>
      <c r="DO223" s="155"/>
      <c r="DP223" s="155"/>
      <c r="DQ223" s="155"/>
      <c r="DR223" s="155"/>
      <c r="DS223" s="155"/>
      <c r="DT223" s="155"/>
      <c r="DU223" s="155"/>
      <c r="DV223" s="155"/>
      <c r="DW223" s="155"/>
      <c r="DX223" s="155"/>
      <c r="DY223" s="155"/>
      <c r="DZ223" s="155"/>
      <c r="EA223" s="155"/>
      <c r="EB223" s="155"/>
      <c r="EC223" s="155"/>
      <c r="ED223" s="155"/>
      <c r="EE223" s="155"/>
      <c r="EF223" s="155"/>
      <c r="EG223" s="155"/>
      <c r="EH223" s="155"/>
      <c r="EI223" s="155"/>
      <c r="EJ223" s="155"/>
      <c r="EK223" s="155"/>
      <c r="EL223" s="155"/>
      <c r="EM223" s="155"/>
      <c r="EN223" s="155"/>
      <c r="EO223" s="155"/>
      <c r="EP223" s="155"/>
      <c r="EQ223" s="155"/>
      <c r="ER223" s="155"/>
      <c r="ES223" s="155"/>
      <c r="ET223" s="155"/>
      <c r="EU223" s="155"/>
      <c r="EV223" s="155"/>
      <c r="EW223" s="155"/>
      <c r="EX223" s="155"/>
      <c r="EY223" s="155"/>
      <c r="EZ223" s="155"/>
      <c r="FA223" s="155"/>
      <c r="FB223" s="155"/>
      <c r="FC223" s="155"/>
      <c r="FD223" s="155"/>
      <c r="FE223" s="155"/>
      <c r="FF223" s="155"/>
      <c r="FG223" s="155"/>
      <c r="FH223" s="155"/>
      <c r="FI223" s="155"/>
      <c r="FJ223" s="155"/>
      <c r="FK223" s="155"/>
      <c r="FL223" s="155"/>
      <c r="FM223" s="155"/>
      <c r="FN223" s="155"/>
      <c r="FO223" s="155"/>
      <c r="FP223" s="155"/>
      <c r="FQ223" s="155"/>
      <c r="FR223" s="155"/>
      <c r="FS223" s="155"/>
      <c r="FT223" s="155"/>
      <c r="FU223" s="155"/>
      <c r="FV223" s="155"/>
      <c r="FW223" s="155"/>
      <c r="FX223" s="155"/>
      <c r="FY223" s="155"/>
      <c r="FZ223" s="155"/>
      <c r="GA223" s="155"/>
      <c r="GB223" s="155"/>
      <c r="GC223" s="155"/>
      <c r="GD223" s="155"/>
      <c r="GE223" s="155"/>
      <c r="GF223" s="155"/>
      <c r="GG223" s="155"/>
      <c r="GH223" s="155"/>
      <c r="GI223" s="155"/>
      <c r="GJ223" s="155"/>
      <c r="GK223" s="155"/>
      <c r="GL223" s="155"/>
      <c r="GM223" s="155"/>
      <c r="GN223" s="155"/>
      <c r="GO223" s="155"/>
      <c r="GP223" s="155"/>
      <c r="GQ223" s="155"/>
      <c r="GR223" s="155"/>
      <c r="GS223" s="155"/>
      <c r="GT223" s="155"/>
      <c r="GU223" s="155"/>
      <c r="GV223" s="155"/>
      <c r="GW223" s="155"/>
      <c r="GX223" s="155"/>
      <c r="GY223" s="155"/>
      <c r="GZ223" s="155"/>
      <c r="HA223" s="155"/>
      <c r="HB223" s="155"/>
      <c r="HC223" s="155"/>
      <c r="HD223" s="155"/>
      <c r="HE223" s="155"/>
      <c r="HF223" s="155"/>
      <c r="HG223" s="155"/>
      <c r="HH223" s="155"/>
      <c r="HI223" s="155"/>
      <c r="HJ223" s="155"/>
      <c r="HK223" s="155"/>
      <c r="HL223" s="155"/>
      <c r="HM223" s="155"/>
      <c r="HN223" s="155"/>
      <c r="HO223" s="155"/>
      <c r="HP223" s="155"/>
      <c r="HQ223" s="155"/>
      <c r="HR223" s="155"/>
      <c r="HS223" s="155"/>
      <c r="HT223" s="155"/>
      <c r="HU223" s="155"/>
      <c r="HV223" s="155"/>
      <c r="HW223" s="155"/>
      <c r="HX223" s="155"/>
      <c r="HY223" s="155"/>
      <c r="HZ223" s="155"/>
      <c r="IA223" s="155"/>
      <c r="IB223" s="155"/>
      <c r="IC223" s="155"/>
      <c r="ID223" s="155"/>
      <c r="IE223" s="155"/>
      <c r="IF223" s="155"/>
      <c r="IG223" s="155"/>
      <c r="IH223" s="155"/>
      <c r="II223" s="155"/>
      <c r="IJ223" s="155"/>
      <c r="IK223" s="155"/>
      <c r="IL223" s="155"/>
      <c r="IM223" s="155"/>
      <c r="IN223" s="155"/>
      <c r="IO223" s="155"/>
      <c r="IP223" s="155"/>
      <c r="IQ223" s="155"/>
      <c r="IR223" s="155"/>
      <c r="IS223" s="155"/>
      <c r="IT223" s="155"/>
      <c r="IU223" s="155"/>
      <c r="IV223" s="155"/>
    </row>
    <row r="224" spans="1:256" s="156" customFormat="1" ht="15" customHeight="1" thickBot="1">
      <c r="A224" s="49" t="s">
        <v>283</v>
      </c>
      <c r="B224" s="49" t="s">
        <v>286</v>
      </c>
      <c r="C224" s="49" t="s">
        <v>284</v>
      </c>
      <c r="D224" s="49" t="s">
        <v>287</v>
      </c>
      <c r="E224" s="49" t="s">
        <v>294</v>
      </c>
      <c r="F224" s="49" t="s">
        <v>288</v>
      </c>
      <c r="G224" s="96"/>
      <c r="H224" s="96"/>
      <c r="I224" s="96"/>
      <c r="J224" s="96"/>
      <c r="K224" s="96"/>
      <c r="L224" s="96"/>
      <c r="M224" s="96"/>
      <c r="N224" s="96"/>
      <c r="O224" s="96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55"/>
      <c r="BB224" s="155"/>
      <c r="BC224" s="155"/>
      <c r="BD224" s="155"/>
      <c r="BE224" s="155"/>
      <c r="BF224" s="155"/>
      <c r="BG224" s="155"/>
      <c r="BH224" s="155"/>
      <c r="BI224" s="155"/>
      <c r="BJ224" s="155"/>
      <c r="BK224" s="155"/>
      <c r="BL224" s="155"/>
      <c r="BM224" s="155"/>
      <c r="BN224" s="155"/>
      <c r="BO224" s="155"/>
      <c r="BP224" s="155"/>
      <c r="BQ224" s="155"/>
      <c r="BR224" s="155"/>
      <c r="BS224" s="155"/>
      <c r="BT224" s="155"/>
      <c r="BU224" s="155"/>
      <c r="BV224" s="155"/>
      <c r="BW224" s="155"/>
      <c r="BX224" s="155"/>
      <c r="BY224" s="155"/>
      <c r="BZ224" s="155"/>
      <c r="CA224" s="155"/>
      <c r="CB224" s="155"/>
      <c r="CC224" s="155"/>
      <c r="CD224" s="155"/>
      <c r="CE224" s="155"/>
      <c r="CF224" s="155"/>
      <c r="CG224" s="155"/>
      <c r="CH224" s="155"/>
      <c r="CI224" s="155"/>
      <c r="CJ224" s="155"/>
      <c r="CK224" s="155"/>
      <c r="CL224" s="155"/>
      <c r="CM224" s="155"/>
      <c r="CN224" s="155"/>
      <c r="CO224" s="155"/>
      <c r="CP224" s="155"/>
      <c r="CQ224" s="155"/>
      <c r="CR224" s="155"/>
      <c r="CS224" s="155"/>
      <c r="CT224" s="155"/>
      <c r="CU224" s="155"/>
      <c r="CV224" s="155"/>
      <c r="CW224" s="155"/>
      <c r="CX224" s="155"/>
      <c r="CY224" s="155"/>
      <c r="CZ224" s="155"/>
      <c r="DA224" s="155"/>
      <c r="DB224" s="155"/>
      <c r="DC224" s="155"/>
      <c r="DD224" s="155"/>
      <c r="DE224" s="155"/>
      <c r="DF224" s="155"/>
      <c r="DG224" s="155"/>
      <c r="DH224" s="155"/>
      <c r="DI224" s="155"/>
      <c r="DJ224" s="155"/>
      <c r="DK224" s="155"/>
      <c r="DL224" s="155"/>
      <c r="DM224" s="155"/>
      <c r="DN224" s="155"/>
      <c r="DO224" s="155"/>
      <c r="DP224" s="155"/>
      <c r="DQ224" s="155"/>
      <c r="DR224" s="155"/>
      <c r="DS224" s="155"/>
      <c r="DT224" s="155"/>
      <c r="DU224" s="155"/>
      <c r="DV224" s="155"/>
      <c r="DW224" s="155"/>
      <c r="DX224" s="155"/>
      <c r="DY224" s="155"/>
      <c r="DZ224" s="155"/>
      <c r="EA224" s="155"/>
      <c r="EB224" s="155"/>
      <c r="EC224" s="155"/>
      <c r="ED224" s="155"/>
      <c r="EE224" s="155"/>
      <c r="EF224" s="155"/>
      <c r="EG224" s="155"/>
      <c r="EH224" s="155"/>
      <c r="EI224" s="155"/>
      <c r="EJ224" s="155"/>
      <c r="EK224" s="155"/>
      <c r="EL224" s="155"/>
      <c r="EM224" s="155"/>
      <c r="EN224" s="155"/>
      <c r="EO224" s="155"/>
      <c r="EP224" s="155"/>
      <c r="EQ224" s="155"/>
      <c r="ER224" s="155"/>
      <c r="ES224" s="155"/>
      <c r="ET224" s="155"/>
      <c r="EU224" s="155"/>
      <c r="EV224" s="155"/>
      <c r="EW224" s="155"/>
      <c r="EX224" s="155"/>
      <c r="EY224" s="155"/>
      <c r="EZ224" s="155"/>
      <c r="FA224" s="155"/>
      <c r="FB224" s="155"/>
      <c r="FC224" s="155"/>
      <c r="FD224" s="155"/>
      <c r="FE224" s="155"/>
      <c r="FF224" s="155"/>
      <c r="FG224" s="155"/>
      <c r="FH224" s="155"/>
      <c r="FI224" s="155"/>
      <c r="FJ224" s="155"/>
      <c r="FK224" s="155"/>
      <c r="FL224" s="155"/>
      <c r="FM224" s="155"/>
      <c r="FN224" s="155"/>
      <c r="FO224" s="155"/>
      <c r="FP224" s="155"/>
      <c r="FQ224" s="155"/>
      <c r="FR224" s="155"/>
      <c r="FS224" s="155"/>
      <c r="FT224" s="155"/>
      <c r="FU224" s="155"/>
      <c r="FV224" s="155"/>
      <c r="FW224" s="155"/>
      <c r="FX224" s="155"/>
      <c r="FY224" s="155"/>
      <c r="FZ224" s="155"/>
      <c r="GA224" s="155"/>
      <c r="GB224" s="155"/>
      <c r="GC224" s="155"/>
      <c r="GD224" s="155"/>
      <c r="GE224" s="155"/>
      <c r="GF224" s="155"/>
      <c r="GG224" s="155"/>
      <c r="GH224" s="155"/>
      <c r="GI224" s="155"/>
      <c r="GJ224" s="155"/>
      <c r="GK224" s="155"/>
      <c r="GL224" s="155"/>
      <c r="GM224" s="155"/>
      <c r="GN224" s="155"/>
      <c r="GO224" s="155"/>
      <c r="GP224" s="155"/>
      <c r="GQ224" s="155"/>
      <c r="GR224" s="155"/>
      <c r="GS224" s="155"/>
      <c r="GT224" s="155"/>
      <c r="GU224" s="155"/>
      <c r="GV224" s="155"/>
      <c r="GW224" s="155"/>
      <c r="GX224" s="155"/>
      <c r="GY224" s="155"/>
      <c r="GZ224" s="155"/>
      <c r="HA224" s="155"/>
      <c r="HB224" s="155"/>
      <c r="HC224" s="155"/>
      <c r="HD224" s="155"/>
      <c r="HE224" s="155"/>
      <c r="HF224" s="155"/>
      <c r="HG224" s="155"/>
      <c r="HH224" s="155"/>
      <c r="HI224" s="155"/>
      <c r="HJ224" s="155"/>
      <c r="HK224" s="155"/>
      <c r="HL224" s="155"/>
      <c r="HM224" s="155"/>
      <c r="HN224" s="155"/>
      <c r="HO224" s="155"/>
      <c r="HP224" s="155"/>
      <c r="HQ224" s="155"/>
      <c r="HR224" s="155"/>
      <c r="HS224" s="155"/>
      <c r="HT224" s="155"/>
      <c r="HU224" s="155"/>
      <c r="HV224" s="155"/>
      <c r="HW224" s="155"/>
      <c r="HX224" s="155"/>
      <c r="HY224" s="155"/>
      <c r="HZ224" s="155"/>
      <c r="IA224" s="155"/>
      <c r="IB224" s="155"/>
      <c r="IC224" s="155"/>
      <c r="ID224" s="155"/>
      <c r="IE224" s="155"/>
      <c r="IF224" s="155"/>
      <c r="IG224" s="155"/>
      <c r="IH224" s="155"/>
      <c r="II224" s="155"/>
      <c r="IJ224" s="155"/>
      <c r="IK224" s="155"/>
      <c r="IL224" s="155"/>
      <c r="IM224" s="155"/>
      <c r="IN224" s="155"/>
      <c r="IO224" s="155"/>
      <c r="IP224" s="155"/>
      <c r="IQ224" s="155"/>
      <c r="IR224" s="155"/>
      <c r="IS224" s="155"/>
      <c r="IT224" s="155"/>
      <c r="IU224" s="155"/>
      <c r="IV224" s="155"/>
    </row>
    <row r="225" spans="1:256" ht="15" customHeight="1" thickTop="1" thickBot="1">
      <c r="A225" s="6">
        <v>1000</v>
      </c>
      <c r="B225" s="30">
        <f>+A225/10000</f>
        <v>0.1</v>
      </c>
      <c r="C225" s="7">
        <f>+B225*100</f>
        <v>10</v>
      </c>
      <c r="D225" s="30">
        <f>+A225/4046.8564224</f>
        <v>0.24710538146716532</v>
      </c>
      <c r="E225" s="26">
        <f>+A225/1000000</f>
        <v>1E-3</v>
      </c>
      <c r="F225" s="26">
        <f t="shared" ref="F225:F228" si="12">+A225/(1609.344*1609.344)</f>
        <v>3.8610215854244581E-4</v>
      </c>
      <c r="G225" s="83"/>
      <c r="H225" s="83"/>
      <c r="I225" s="83"/>
      <c r="J225" s="83"/>
      <c r="K225" s="83"/>
      <c r="L225" s="83"/>
      <c r="M225" s="83"/>
      <c r="N225" s="83"/>
      <c r="O225" s="83"/>
    </row>
    <row r="226" spans="1:256" ht="15" customHeight="1" thickTop="1" thickBot="1">
      <c r="A226" s="9">
        <f>+B226*10000</f>
        <v>10000</v>
      </c>
      <c r="B226" s="6">
        <v>1</v>
      </c>
      <c r="C226" s="7">
        <f>+B226*100</f>
        <v>100</v>
      </c>
      <c r="D226" s="30">
        <f>+A226/4046.8564224</f>
        <v>2.4710538146716532</v>
      </c>
      <c r="E226" s="26">
        <f t="shared" ref="E226:E230" si="13">+A226/1000000</f>
        <v>0.01</v>
      </c>
      <c r="F226" s="26">
        <f t="shared" si="12"/>
        <v>3.8610215854244581E-3</v>
      </c>
      <c r="G226" s="83"/>
      <c r="H226" s="83"/>
      <c r="I226" s="83"/>
      <c r="J226" s="83"/>
      <c r="K226" s="83"/>
      <c r="L226" s="83"/>
      <c r="M226" s="83"/>
      <c r="N226" s="83"/>
      <c r="O226" s="83"/>
    </row>
    <row r="227" spans="1:256" ht="15" customHeight="1" thickTop="1" thickBot="1">
      <c r="A227" s="9">
        <f>+C227*100</f>
        <v>100</v>
      </c>
      <c r="B227" s="30">
        <f t="shared" ref="B227:B230" si="14">+A227/10000</f>
        <v>0.01</v>
      </c>
      <c r="C227" s="8">
        <v>1</v>
      </c>
      <c r="D227" s="30">
        <f>+A227/4046.8564224</f>
        <v>2.4710538146716532E-2</v>
      </c>
      <c r="E227" s="26">
        <f t="shared" si="13"/>
        <v>1E-4</v>
      </c>
      <c r="F227" s="26">
        <f t="shared" si="12"/>
        <v>3.8610215854244585E-5</v>
      </c>
      <c r="G227" s="83"/>
      <c r="H227" s="83"/>
      <c r="I227" s="83"/>
      <c r="J227" s="83"/>
      <c r="K227" s="83"/>
      <c r="L227" s="83"/>
      <c r="M227" s="83"/>
      <c r="N227" s="83"/>
      <c r="O227" s="83"/>
    </row>
    <row r="228" spans="1:256" ht="15" customHeight="1" thickTop="1" thickBot="1">
      <c r="A228" s="9">
        <f>+D228*4046.8564224</f>
        <v>4046.8564224000002</v>
      </c>
      <c r="B228" s="30">
        <f t="shared" si="14"/>
        <v>0.40468564224000003</v>
      </c>
      <c r="C228" s="7">
        <f t="shared" ref="C228:C230" si="15">+B228*100</f>
        <v>40.468564224000005</v>
      </c>
      <c r="D228" s="24">
        <v>1</v>
      </c>
      <c r="E228" s="26">
        <f t="shared" si="13"/>
        <v>4.0468564224000001E-3</v>
      </c>
      <c r="F228" s="26">
        <f t="shared" si="12"/>
        <v>1.5625000000000001E-3</v>
      </c>
      <c r="G228" s="83"/>
      <c r="H228" s="83"/>
      <c r="I228" s="83"/>
      <c r="J228" s="83"/>
      <c r="K228" s="83"/>
      <c r="L228" s="83"/>
      <c r="M228" s="83"/>
      <c r="N228" s="83"/>
      <c r="O228" s="83"/>
    </row>
    <row r="229" spans="1:256" ht="15" customHeight="1" thickTop="1" thickBot="1">
      <c r="A229" s="9">
        <f>+E229*1000000</f>
        <v>1000000</v>
      </c>
      <c r="B229" s="30">
        <f t="shared" si="14"/>
        <v>100</v>
      </c>
      <c r="C229" s="7">
        <f t="shared" si="15"/>
        <v>10000</v>
      </c>
      <c r="D229" s="30">
        <f>+A229/4046.8564224</f>
        <v>247.10538146716533</v>
      </c>
      <c r="E229" s="28">
        <v>1</v>
      </c>
      <c r="F229" s="26">
        <f>+A229/(1609.344*1609.344)</f>
        <v>0.38610215854244584</v>
      </c>
      <c r="G229" s="83"/>
      <c r="H229" s="83"/>
      <c r="I229" s="83"/>
      <c r="J229" s="83"/>
      <c r="K229" s="83"/>
      <c r="L229" s="83"/>
      <c r="M229" s="83"/>
      <c r="N229" s="83"/>
      <c r="O229" s="83"/>
    </row>
    <row r="230" spans="1:256" ht="15" customHeight="1" thickTop="1" thickBot="1">
      <c r="A230" s="9">
        <f>+F230*1609.344*1609.344</f>
        <v>2589988.1103360001</v>
      </c>
      <c r="B230" s="30">
        <f t="shared" si="14"/>
        <v>258.99881103360002</v>
      </c>
      <c r="C230" s="7">
        <f t="shared" si="15"/>
        <v>25899.881103360003</v>
      </c>
      <c r="D230" s="30">
        <f>+A230/4046.8564224</f>
        <v>640</v>
      </c>
      <c r="E230" s="26">
        <f t="shared" si="13"/>
        <v>2.5899881103360003</v>
      </c>
      <c r="F230" s="28">
        <v>1</v>
      </c>
      <c r="G230" s="83"/>
      <c r="H230" s="83"/>
      <c r="I230" s="83"/>
      <c r="J230" s="83"/>
      <c r="K230" s="83"/>
      <c r="L230" s="83"/>
      <c r="M230" s="83"/>
      <c r="N230" s="83"/>
      <c r="O230" s="83"/>
    </row>
    <row r="231" spans="1:256" s="156" customFormat="1" ht="15" customHeight="1" thickTop="1">
      <c r="A231" s="89"/>
      <c r="B231" s="89"/>
      <c r="C231" s="94"/>
      <c r="D231" s="122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  <c r="BC231" s="155"/>
      <c r="BD231" s="155"/>
      <c r="BE231" s="155"/>
      <c r="BF231" s="155"/>
      <c r="BG231" s="155"/>
      <c r="BH231" s="155"/>
      <c r="BI231" s="155"/>
      <c r="BJ231" s="155"/>
      <c r="BK231" s="155"/>
      <c r="BL231" s="155"/>
      <c r="BM231" s="155"/>
      <c r="BN231" s="155"/>
      <c r="BO231" s="155"/>
      <c r="BP231" s="155"/>
      <c r="BQ231" s="155"/>
      <c r="BR231" s="155"/>
      <c r="BS231" s="155"/>
      <c r="BT231" s="155"/>
      <c r="BU231" s="155"/>
      <c r="BV231" s="155"/>
      <c r="BW231" s="155"/>
      <c r="BX231" s="155"/>
      <c r="BY231" s="155"/>
      <c r="BZ231" s="155"/>
      <c r="CA231" s="155"/>
      <c r="CB231" s="155"/>
      <c r="CC231" s="155"/>
      <c r="CD231" s="155"/>
      <c r="CE231" s="155"/>
      <c r="CF231" s="155"/>
      <c r="CG231" s="155"/>
      <c r="CH231" s="155"/>
      <c r="CI231" s="155"/>
      <c r="CJ231" s="155"/>
      <c r="CK231" s="155"/>
      <c r="CL231" s="155"/>
      <c r="CM231" s="155"/>
      <c r="CN231" s="155"/>
      <c r="CO231" s="155"/>
      <c r="CP231" s="155"/>
      <c r="CQ231" s="155"/>
      <c r="CR231" s="155"/>
      <c r="CS231" s="155"/>
      <c r="CT231" s="155"/>
      <c r="CU231" s="155"/>
      <c r="CV231" s="155"/>
      <c r="CW231" s="155"/>
      <c r="CX231" s="155"/>
      <c r="CY231" s="155"/>
      <c r="CZ231" s="155"/>
      <c r="DA231" s="155"/>
      <c r="DB231" s="155"/>
      <c r="DC231" s="155"/>
      <c r="DD231" s="155"/>
      <c r="DE231" s="155"/>
      <c r="DF231" s="155"/>
      <c r="DG231" s="155"/>
      <c r="DH231" s="155"/>
      <c r="DI231" s="155"/>
      <c r="DJ231" s="155"/>
      <c r="DK231" s="155"/>
      <c r="DL231" s="155"/>
      <c r="DM231" s="155"/>
      <c r="DN231" s="155"/>
      <c r="DO231" s="155"/>
      <c r="DP231" s="155"/>
      <c r="DQ231" s="155"/>
      <c r="DR231" s="155"/>
      <c r="DS231" s="155"/>
      <c r="DT231" s="155"/>
      <c r="DU231" s="155"/>
      <c r="DV231" s="155"/>
      <c r="DW231" s="155"/>
      <c r="DX231" s="155"/>
      <c r="DY231" s="155"/>
      <c r="DZ231" s="155"/>
      <c r="EA231" s="155"/>
      <c r="EB231" s="155"/>
      <c r="EC231" s="155"/>
      <c r="ED231" s="155"/>
      <c r="EE231" s="155"/>
      <c r="EF231" s="155"/>
      <c r="EG231" s="155"/>
      <c r="EH231" s="155"/>
      <c r="EI231" s="155"/>
      <c r="EJ231" s="155"/>
      <c r="EK231" s="155"/>
      <c r="EL231" s="155"/>
      <c r="EM231" s="155"/>
      <c r="EN231" s="155"/>
      <c r="EO231" s="155"/>
      <c r="EP231" s="155"/>
      <c r="EQ231" s="155"/>
      <c r="ER231" s="155"/>
      <c r="ES231" s="155"/>
      <c r="ET231" s="155"/>
      <c r="EU231" s="155"/>
      <c r="EV231" s="155"/>
      <c r="EW231" s="155"/>
      <c r="EX231" s="155"/>
      <c r="EY231" s="155"/>
      <c r="EZ231" s="155"/>
      <c r="FA231" s="155"/>
      <c r="FB231" s="155"/>
      <c r="FC231" s="155"/>
      <c r="FD231" s="155"/>
      <c r="FE231" s="155"/>
      <c r="FF231" s="155"/>
      <c r="FG231" s="155"/>
      <c r="FH231" s="155"/>
      <c r="FI231" s="155"/>
      <c r="FJ231" s="155"/>
      <c r="FK231" s="155"/>
      <c r="FL231" s="155"/>
      <c r="FM231" s="155"/>
      <c r="FN231" s="155"/>
      <c r="FO231" s="155"/>
      <c r="FP231" s="155"/>
      <c r="FQ231" s="155"/>
      <c r="FR231" s="155"/>
      <c r="FS231" s="155"/>
      <c r="FT231" s="155"/>
      <c r="FU231" s="155"/>
      <c r="FV231" s="155"/>
      <c r="FW231" s="155"/>
      <c r="FX231" s="155"/>
      <c r="FY231" s="155"/>
      <c r="FZ231" s="155"/>
      <c r="GA231" s="155"/>
      <c r="GB231" s="155"/>
      <c r="GC231" s="155"/>
      <c r="GD231" s="155"/>
      <c r="GE231" s="155"/>
      <c r="GF231" s="155"/>
      <c r="GG231" s="155"/>
      <c r="GH231" s="155"/>
      <c r="GI231" s="155"/>
      <c r="GJ231" s="155"/>
      <c r="GK231" s="155"/>
      <c r="GL231" s="155"/>
      <c r="GM231" s="155"/>
      <c r="GN231" s="155"/>
      <c r="GO231" s="155"/>
      <c r="GP231" s="155"/>
      <c r="GQ231" s="155"/>
      <c r="GR231" s="155"/>
      <c r="GS231" s="155"/>
      <c r="GT231" s="155"/>
      <c r="GU231" s="155"/>
      <c r="GV231" s="155"/>
      <c r="GW231" s="155"/>
      <c r="GX231" s="155"/>
      <c r="GY231" s="155"/>
      <c r="GZ231" s="155"/>
      <c r="HA231" s="155"/>
      <c r="HB231" s="155"/>
      <c r="HC231" s="155"/>
      <c r="HD231" s="155"/>
      <c r="HE231" s="155"/>
      <c r="HF231" s="155"/>
      <c r="HG231" s="155"/>
      <c r="HH231" s="155"/>
      <c r="HI231" s="155"/>
      <c r="HJ231" s="155"/>
      <c r="HK231" s="155"/>
      <c r="HL231" s="155"/>
      <c r="HM231" s="155"/>
      <c r="HN231" s="155"/>
      <c r="HO231" s="155"/>
      <c r="HP231" s="155"/>
      <c r="HQ231" s="155"/>
      <c r="HR231" s="155"/>
      <c r="HS231" s="155"/>
      <c r="HT231" s="155"/>
      <c r="HU231" s="155"/>
      <c r="HV231" s="155"/>
      <c r="HW231" s="155"/>
      <c r="HX231" s="155"/>
      <c r="HY231" s="155"/>
      <c r="HZ231" s="155"/>
      <c r="IA231" s="155"/>
      <c r="IB231" s="155"/>
      <c r="IC231" s="155"/>
      <c r="ID231" s="155"/>
      <c r="IE231" s="155"/>
      <c r="IF231" s="155"/>
      <c r="IG231" s="155"/>
      <c r="IH231" s="155"/>
      <c r="II231" s="155"/>
      <c r="IJ231" s="155"/>
      <c r="IK231" s="155"/>
      <c r="IL231" s="155"/>
      <c r="IM231" s="155"/>
      <c r="IN231" s="155"/>
      <c r="IO231" s="155"/>
      <c r="IP231" s="155"/>
      <c r="IQ231" s="155"/>
      <c r="IR231" s="155"/>
      <c r="IS231" s="155"/>
      <c r="IT231" s="155"/>
      <c r="IU231" s="155"/>
      <c r="IV231" s="155"/>
    </row>
    <row r="232" spans="1:256" ht="15" customHeight="1">
      <c r="A232" s="226" t="s">
        <v>266</v>
      </c>
      <c r="B232" s="151"/>
      <c r="C232" s="151"/>
      <c r="D232" s="151"/>
      <c r="E232" s="151"/>
      <c r="F232" s="151"/>
      <c r="G232" s="228"/>
      <c r="H232" s="83"/>
      <c r="I232" s="83"/>
      <c r="J232" s="83"/>
      <c r="K232" s="83"/>
      <c r="L232" s="83"/>
      <c r="M232" s="83"/>
      <c r="N232" s="83"/>
      <c r="O232" s="83"/>
    </row>
    <row r="233" spans="1:256" ht="15" customHeight="1" thickBot="1">
      <c r="A233" s="49" t="s">
        <v>231</v>
      </c>
      <c r="B233" s="49" t="s">
        <v>201</v>
      </c>
      <c r="C233" s="49" t="s">
        <v>232</v>
      </c>
      <c r="D233" s="49" t="s">
        <v>233</v>
      </c>
      <c r="E233" s="49" t="s">
        <v>234</v>
      </c>
      <c r="F233" s="49" t="s">
        <v>235</v>
      </c>
      <c r="G233" s="49" t="s">
        <v>236</v>
      </c>
      <c r="H233" s="83"/>
      <c r="I233" s="83"/>
      <c r="J233" s="83"/>
      <c r="K233" s="83"/>
      <c r="L233" s="83"/>
      <c r="M233" s="83"/>
      <c r="N233" s="83"/>
      <c r="O233" s="83"/>
    </row>
    <row r="234" spans="1:256" ht="15" customHeight="1" thickTop="1" thickBot="1">
      <c r="A234" s="28">
        <v>1</v>
      </c>
      <c r="B234" s="26">
        <f>+A234*1000</f>
        <v>1000</v>
      </c>
      <c r="C234" s="29">
        <f>+B234*100</f>
        <v>100000</v>
      </c>
      <c r="D234" s="7">
        <f>+B234*1000</f>
        <v>1000000</v>
      </c>
      <c r="E234" s="9">
        <f>+B234*0.264172051</f>
        <v>264.17205100000001</v>
      </c>
      <c r="F234" s="9">
        <f>+E234*0.832674188</f>
        <v>219.96924805871961</v>
      </c>
      <c r="G234" s="9">
        <f>+B234*33.814022</f>
        <v>33814.022000000004</v>
      </c>
      <c r="H234" s="83"/>
      <c r="I234" s="83"/>
      <c r="J234" s="83"/>
      <c r="K234" s="83"/>
      <c r="L234" s="83"/>
      <c r="M234" s="83"/>
      <c r="N234" s="83"/>
      <c r="O234" s="83"/>
    </row>
    <row r="235" spans="1:256" ht="15" customHeight="1" thickTop="1" thickBot="1">
      <c r="A235" s="26">
        <f>+B235/1000</f>
        <v>1E-3</v>
      </c>
      <c r="B235" s="28">
        <v>1</v>
      </c>
      <c r="C235" s="29">
        <f>+B235*100</f>
        <v>100</v>
      </c>
      <c r="D235" s="7">
        <f>+B235*1000</f>
        <v>1000</v>
      </c>
      <c r="E235" s="9">
        <f t="shared" ref="E235:E240" si="16">+B235*0.264172051</f>
        <v>0.26417205100000002</v>
      </c>
      <c r="F235" s="9">
        <f t="shared" ref="F235:F238" si="17">+E235*0.832674188</f>
        <v>0.21996924805871962</v>
      </c>
      <c r="G235" s="9">
        <f t="shared" ref="G235:G239" si="18">+B235*33.814022</f>
        <v>33.814022000000001</v>
      </c>
      <c r="H235" s="83"/>
      <c r="I235" s="83"/>
      <c r="J235" s="83"/>
      <c r="K235" s="83"/>
      <c r="L235" s="83"/>
      <c r="M235" s="83"/>
      <c r="N235" s="83"/>
      <c r="O235" s="83"/>
    </row>
    <row r="236" spans="1:256" ht="15" customHeight="1" thickTop="1" thickBot="1">
      <c r="A236" s="26">
        <f>+B236/1000</f>
        <v>1.0000000000000001E-5</v>
      </c>
      <c r="B236" s="26">
        <f>+C236/100</f>
        <v>0.01</v>
      </c>
      <c r="C236" s="8">
        <v>1</v>
      </c>
      <c r="D236" s="7">
        <f>+C236*10</f>
        <v>10</v>
      </c>
      <c r="E236" s="9">
        <f t="shared" si="16"/>
        <v>2.6417205100000003E-3</v>
      </c>
      <c r="F236" s="9">
        <f t="shared" si="17"/>
        <v>2.1996924805871964E-3</v>
      </c>
      <c r="G236" s="9">
        <f t="shared" si="18"/>
        <v>0.33814022000000005</v>
      </c>
      <c r="H236" s="83"/>
      <c r="I236" s="83"/>
      <c r="J236" s="83"/>
      <c r="K236" s="83"/>
      <c r="L236" s="83"/>
      <c r="M236" s="83"/>
      <c r="N236" s="83"/>
      <c r="O236" s="83"/>
    </row>
    <row r="237" spans="1:256" ht="15" customHeight="1" thickTop="1" thickBot="1">
      <c r="A237" s="26">
        <f>+B237/1000</f>
        <v>9.9999999999999995E-7</v>
      </c>
      <c r="B237" s="26">
        <f>+D237/1000</f>
        <v>1E-3</v>
      </c>
      <c r="C237" s="29">
        <f>+D237/10</f>
        <v>0.1</v>
      </c>
      <c r="D237" s="8">
        <v>1</v>
      </c>
      <c r="E237" s="9">
        <f t="shared" si="16"/>
        <v>2.6417205100000003E-4</v>
      </c>
      <c r="F237" s="9">
        <f t="shared" si="17"/>
        <v>2.1996924805871962E-4</v>
      </c>
      <c r="G237" s="9">
        <f t="shared" si="18"/>
        <v>3.3814021999999999E-2</v>
      </c>
      <c r="H237" s="83"/>
      <c r="I237" s="83"/>
      <c r="J237" s="83"/>
      <c r="K237" s="83"/>
      <c r="L237" s="83"/>
      <c r="M237" s="83"/>
      <c r="N237" s="83"/>
      <c r="O237" s="83"/>
    </row>
    <row r="238" spans="1:256" ht="15" customHeight="1" thickTop="1" thickBot="1">
      <c r="A238" s="26">
        <f>+B238/1000</f>
        <v>3.7854118000000001E-3</v>
      </c>
      <c r="B238" s="26">
        <f>+E238*3.7854118</f>
        <v>3.7854117999999999</v>
      </c>
      <c r="C238" s="29">
        <f>+B238*100</f>
        <v>378.54118</v>
      </c>
      <c r="D238" s="29">
        <f>+B238*1000</f>
        <v>3785.4117999999999</v>
      </c>
      <c r="E238" s="6">
        <v>1</v>
      </c>
      <c r="F238" s="9">
        <f t="shared" si="17"/>
        <v>0.83267418800000004</v>
      </c>
      <c r="G238" s="9">
        <f t="shared" si="18"/>
        <v>127.9999978842596</v>
      </c>
      <c r="H238" s="83"/>
      <c r="I238" s="83"/>
      <c r="J238" s="83"/>
      <c r="K238" s="83"/>
      <c r="L238" s="83"/>
      <c r="M238" s="83"/>
      <c r="N238" s="83"/>
      <c r="O238" s="83"/>
    </row>
    <row r="239" spans="1:256" ht="15" customHeight="1" thickTop="1" thickBot="1">
      <c r="A239" s="26">
        <f t="shared" ref="A239:A240" si="19">+B239/1000</f>
        <v>4.54609E-3</v>
      </c>
      <c r="B239" s="26">
        <f>+F239*4.54609</f>
        <v>4.5460900000000004</v>
      </c>
      <c r="C239" s="29">
        <f t="shared" ref="C239:C240" si="20">+B239*100</f>
        <v>454.60900000000004</v>
      </c>
      <c r="D239" s="29">
        <f t="shared" ref="D239:D240" si="21">+B239*1000</f>
        <v>4546.09</v>
      </c>
      <c r="E239" s="9">
        <f t="shared" si="16"/>
        <v>1.2009499193305901</v>
      </c>
      <c r="F239" s="6">
        <v>1</v>
      </c>
      <c r="G239" s="9">
        <f t="shared" si="18"/>
        <v>153.72158727398002</v>
      </c>
      <c r="H239" s="83"/>
      <c r="I239" s="83"/>
      <c r="J239" s="83"/>
      <c r="K239" s="83"/>
      <c r="L239" s="83"/>
      <c r="M239" s="83"/>
      <c r="N239" s="83"/>
      <c r="O239" s="83"/>
    </row>
    <row r="240" spans="1:256" ht="15" customHeight="1" thickTop="1" thickBot="1">
      <c r="A240" s="26">
        <f t="shared" si="19"/>
        <v>2.9573530000000001E-2</v>
      </c>
      <c r="B240" s="26">
        <f>+G240*0.02957353</f>
        <v>29.573530000000002</v>
      </c>
      <c r="C240" s="29">
        <f t="shared" si="20"/>
        <v>2957.3530000000001</v>
      </c>
      <c r="D240" s="29">
        <f t="shared" si="21"/>
        <v>29573.530000000002</v>
      </c>
      <c r="E240" s="9">
        <f t="shared" si="16"/>
        <v>7.8125000754100311</v>
      </c>
      <c r="F240" s="9">
        <f>+E240*0.832674188</f>
        <v>6.5052671565419864</v>
      </c>
      <c r="G240" s="6">
        <v>1000</v>
      </c>
      <c r="H240" s="83"/>
      <c r="I240" s="83"/>
      <c r="J240" s="83"/>
      <c r="K240" s="83"/>
      <c r="L240" s="83"/>
      <c r="M240" s="83"/>
      <c r="N240" s="83"/>
      <c r="O240" s="83"/>
    </row>
    <row r="241" spans="1:256" s="156" customFormat="1" ht="15" customHeight="1" thickTop="1">
      <c r="A241" s="129"/>
      <c r="B241" s="129"/>
      <c r="C241" s="92"/>
      <c r="D241" s="92"/>
      <c r="E241" s="115"/>
      <c r="F241" s="115"/>
      <c r="G241" s="111"/>
      <c r="H241" s="96"/>
      <c r="I241" s="96"/>
      <c r="J241" s="96"/>
      <c r="K241" s="96"/>
      <c r="L241" s="96"/>
      <c r="M241" s="96"/>
      <c r="N241" s="96"/>
      <c r="O241" s="96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  <c r="BI241" s="155"/>
      <c r="BJ241" s="155"/>
      <c r="BK241" s="155"/>
      <c r="BL241" s="155"/>
      <c r="BM241" s="155"/>
      <c r="BN241" s="155"/>
      <c r="BO241" s="155"/>
      <c r="BP241" s="155"/>
      <c r="BQ241" s="155"/>
      <c r="BR241" s="155"/>
      <c r="BS241" s="155"/>
      <c r="BT241" s="155"/>
      <c r="BU241" s="155"/>
      <c r="BV241" s="155"/>
      <c r="BW241" s="155"/>
      <c r="BX241" s="155"/>
      <c r="BY241" s="155"/>
      <c r="BZ241" s="155"/>
      <c r="CA241" s="155"/>
      <c r="CB241" s="155"/>
      <c r="CC241" s="155"/>
      <c r="CD241" s="155"/>
      <c r="CE241" s="155"/>
      <c r="CF241" s="155"/>
      <c r="CG241" s="155"/>
      <c r="CH241" s="155"/>
      <c r="CI241" s="155"/>
      <c r="CJ241" s="155"/>
      <c r="CK241" s="155"/>
      <c r="CL241" s="155"/>
      <c r="CM241" s="155"/>
      <c r="CN241" s="155"/>
      <c r="CO241" s="155"/>
      <c r="CP241" s="155"/>
      <c r="CQ241" s="155"/>
      <c r="CR241" s="155"/>
      <c r="CS241" s="155"/>
      <c r="CT241" s="155"/>
      <c r="CU241" s="155"/>
      <c r="CV241" s="155"/>
      <c r="CW241" s="155"/>
      <c r="CX241" s="155"/>
      <c r="CY241" s="155"/>
      <c r="CZ241" s="155"/>
      <c r="DA241" s="155"/>
      <c r="DB241" s="155"/>
      <c r="DC241" s="155"/>
      <c r="DD241" s="155"/>
      <c r="DE241" s="155"/>
      <c r="DF241" s="155"/>
      <c r="DG241" s="155"/>
      <c r="DH241" s="155"/>
      <c r="DI241" s="155"/>
      <c r="DJ241" s="155"/>
      <c r="DK241" s="155"/>
      <c r="DL241" s="155"/>
      <c r="DM241" s="155"/>
      <c r="DN241" s="155"/>
      <c r="DO241" s="155"/>
      <c r="DP241" s="155"/>
      <c r="DQ241" s="155"/>
      <c r="DR241" s="155"/>
      <c r="DS241" s="155"/>
      <c r="DT241" s="155"/>
      <c r="DU241" s="155"/>
      <c r="DV241" s="155"/>
      <c r="DW241" s="155"/>
      <c r="DX241" s="155"/>
      <c r="DY241" s="155"/>
      <c r="DZ241" s="155"/>
      <c r="EA241" s="155"/>
      <c r="EB241" s="155"/>
      <c r="EC241" s="155"/>
      <c r="ED241" s="155"/>
      <c r="EE241" s="155"/>
      <c r="EF241" s="155"/>
      <c r="EG241" s="155"/>
      <c r="EH241" s="155"/>
      <c r="EI241" s="155"/>
      <c r="EJ241" s="155"/>
      <c r="EK241" s="155"/>
      <c r="EL241" s="155"/>
      <c r="EM241" s="155"/>
      <c r="EN241" s="155"/>
      <c r="EO241" s="155"/>
      <c r="EP241" s="155"/>
      <c r="EQ241" s="155"/>
      <c r="ER241" s="155"/>
      <c r="ES241" s="155"/>
      <c r="ET241" s="155"/>
      <c r="EU241" s="155"/>
      <c r="EV241" s="155"/>
      <c r="EW241" s="155"/>
      <c r="EX241" s="155"/>
      <c r="EY241" s="155"/>
      <c r="EZ241" s="155"/>
      <c r="FA241" s="155"/>
      <c r="FB241" s="155"/>
      <c r="FC241" s="155"/>
      <c r="FD241" s="155"/>
      <c r="FE241" s="155"/>
      <c r="FF241" s="155"/>
      <c r="FG241" s="155"/>
      <c r="FH241" s="155"/>
      <c r="FI241" s="155"/>
      <c r="FJ241" s="155"/>
      <c r="FK241" s="155"/>
      <c r="FL241" s="155"/>
      <c r="FM241" s="155"/>
      <c r="FN241" s="155"/>
      <c r="FO241" s="155"/>
      <c r="FP241" s="155"/>
      <c r="FQ241" s="155"/>
      <c r="FR241" s="155"/>
      <c r="FS241" s="155"/>
      <c r="FT241" s="155"/>
      <c r="FU241" s="155"/>
      <c r="FV241" s="155"/>
      <c r="FW241" s="155"/>
      <c r="FX241" s="155"/>
      <c r="FY241" s="155"/>
      <c r="FZ241" s="155"/>
      <c r="GA241" s="155"/>
      <c r="GB241" s="155"/>
      <c r="GC241" s="155"/>
      <c r="GD241" s="155"/>
      <c r="GE241" s="155"/>
      <c r="GF241" s="155"/>
      <c r="GG241" s="155"/>
      <c r="GH241" s="155"/>
      <c r="GI241" s="155"/>
      <c r="GJ241" s="155"/>
      <c r="GK241" s="155"/>
      <c r="GL241" s="155"/>
      <c r="GM241" s="155"/>
      <c r="GN241" s="155"/>
      <c r="GO241" s="155"/>
      <c r="GP241" s="155"/>
      <c r="GQ241" s="155"/>
      <c r="GR241" s="155"/>
      <c r="GS241" s="155"/>
      <c r="GT241" s="155"/>
      <c r="GU241" s="155"/>
      <c r="GV241" s="155"/>
      <c r="GW241" s="155"/>
      <c r="GX241" s="155"/>
      <c r="GY241" s="155"/>
      <c r="GZ241" s="155"/>
      <c r="HA241" s="155"/>
      <c r="HB241" s="155"/>
      <c r="HC241" s="155"/>
      <c r="HD241" s="155"/>
      <c r="HE241" s="155"/>
      <c r="HF241" s="155"/>
      <c r="HG241" s="155"/>
      <c r="HH241" s="155"/>
      <c r="HI241" s="155"/>
      <c r="HJ241" s="155"/>
      <c r="HK241" s="155"/>
      <c r="HL241" s="155"/>
      <c r="HM241" s="155"/>
      <c r="HN241" s="155"/>
      <c r="HO241" s="155"/>
      <c r="HP241" s="155"/>
      <c r="HQ241" s="155"/>
      <c r="HR241" s="155"/>
      <c r="HS241" s="155"/>
      <c r="HT241" s="155"/>
      <c r="HU241" s="155"/>
      <c r="HV241" s="155"/>
      <c r="HW241" s="155"/>
      <c r="HX241" s="155"/>
      <c r="HY241" s="155"/>
      <c r="HZ241" s="155"/>
      <c r="IA241" s="155"/>
      <c r="IB241" s="155"/>
      <c r="IC241" s="155"/>
      <c r="ID241" s="155"/>
      <c r="IE241" s="155"/>
      <c r="IF241" s="155"/>
      <c r="IG241" s="155"/>
      <c r="IH241" s="155"/>
      <c r="II241" s="155"/>
      <c r="IJ241" s="155"/>
      <c r="IK241" s="155"/>
      <c r="IL241" s="155"/>
      <c r="IM241" s="155"/>
      <c r="IN241" s="155"/>
      <c r="IO241" s="155"/>
      <c r="IP241" s="155"/>
      <c r="IQ241" s="155"/>
      <c r="IR241" s="155"/>
      <c r="IS241" s="155"/>
      <c r="IT241" s="155"/>
      <c r="IU241" s="155"/>
      <c r="IV241" s="155"/>
    </row>
    <row r="242" spans="1:256" s="156" customFormat="1" ht="15" customHeight="1">
      <c r="A242" s="226" t="s">
        <v>267</v>
      </c>
      <c r="B242" s="151"/>
      <c r="C242" s="151"/>
      <c r="D242" s="228"/>
      <c r="E242" s="83"/>
      <c r="F242" s="115"/>
      <c r="G242" s="111"/>
      <c r="H242" s="96"/>
      <c r="I242" s="96"/>
      <c r="J242" s="96"/>
      <c r="K242" s="96"/>
      <c r="L242" s="96"/>
      <c r="M242" s="96"/>
      <c r="N242" s="96"/>
      <c r="O242" s="96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/>
      <c r="BH242" s="155"/>
      <c r="BI242" s="155"/>
      <c r="BJ242" s="155"/>
      <c r="BK242" s="155"/>
      <c r="BL242" s="155"/>
      <c r="BM242" s="155"/>
      <c r="BN242" s="155"/>
      <c r="BO242" s="155"/>
      <c r="BP242" s="155"/>
      <c r="BQ242" s="155"/>
      <c r="BR242" s="155"/>
      <c r="BS242" s="155"/>
      <c r="BT242" s="155"/>
      <c r="BU242" s="155"/>
      <c r="BV242" s="155"/>
      <c r="BW242" s="155"/>
      <c r="BX242" s="155"/>
      <c r="BY242" s="155"/>
      <c r="BZ242" s="155"/>
      <c r="CA242" s="155"/>
      <c r="CB242" s="155"/>
      <c r="CC242" s="155"/>
      <c r="CD242" s="155"/>
      <c r="CE242" s="155"/>
      <c r="CF242" s="155"/>
      <c r="CG242" s="155"/>
      <c r="CH242" s="155"/>
      <c r="CI242" s="155"/>
      <c r="CJ242" s="155"/>
      <c r="CK242" s="155"/>
      <c r="CL242" s="155"/>
      <c r="CM242" s="155"/>
      <c r="CN242" s="155"/>
      <c r="CO242" s="155"/>
      <c r="CP242" s="155"/>
      <c r="CQ242" s="155"/>
      <c r="CR242" s="155"/>
      <c r="CS242" s="155"/>
      <c r="CT242" s="155"/>
      <c r="CU242" s="155"/>
      <c r="CV242" s="155"/>
      <c r="CW242" s="155"/>
      <c r="CX242" s="155"/>
      <c r="CY242" s="155"/>
      <c r="CZ242" s="155"/>
      <c r="DA242" s="155"/>
      <c r="DB242" s="155"/>
      <c r="DC242" s="155"/>
      <c r="DD242" s="155"/>
      <c r="DE242" s="155"/>
      <c r="DF242" s="155"/>
      <c r="DG242" s="155"/>
      <c r="DH242" s="155"/>
      <c r="DI242" s="155"/>
      <c r="DJ242" s="155"/>
      <c r="DK242" s="155"/>
      <c r="DL242" s="155"/>
      <c r="DM242" s="155"/>
      <c r="DN242" s="155"/>
      <c r="DO242" s="155"/>
      <c r="DP242" s="155"/>
      <c r="DQ242" s="155"/>
      <c r="DR242" s="155"/>
      <c r="DS242" s="155"/>
      <c r="DT242" s="155"/>
      <c r="DU242" s="155"/>
      <c r="DV242" s="155"/>
      <c r="DW242" s="155"/>
      <c r="DX242" s="155"/>
      <c r="DY242" s="155"/>
      <c r="DZ242" s="155"/>
      <c r="EA242" s="155"/>
      <c r="EB242" s="155"/>
      <c r="EC242" s="155"/>
      <c r="ED242" s="155"/>
      <c r="EE242" s="155"/>
      <c r="EF242" s="155"/>
      <c r="EG242" s="155"/>
      <c r="EH242" s="155"/>
      <c r="EI242" s="155"/>
      <c r="EJ242" s="155"/>
      <c r="EK242" s="155"/>
      <c r="EL242" s="155"/>
      <c r="EM242" s="155"/>
      <c r="EN242" s="155"/>
      <c r="EO242" s="155"/>
      <c r="EP242" s="155"/>
      <c r="EQ242" s="155"/>
      <c r="ER242" s="155"/>
      <c r="ES242" s="155"/>
      <c r="ET242" s="155"/>
      <c r="EU242" s="155"/>
      <c r="EV242" s="155"/>
      <c r="EW242" s="155"/>
      <c r="EX242" s="155"/>
      <c r="EY242" s="155"/>
      <c r="EZ242" s="155"/>
      <c r="FA242" s="155"/>
      <c r="FB242" s="155"/>
      <c r="FC242" s="155"/>
      <c r="FD242" s="155"/>
      <c r="FE242" s="155"/>
      <c r="FF242" s="155"/>
      <c r="FG242" s="155"/>
      <c r="FH242" s="155"/>
      <c r="FI242" s="155"/>
      <c r="FJ242" s="155"/>
      <c r="FK242" s="155"/>
      <c r="FL242" s="155"/>
      <c r="FM242" s="155"/>
      <c r="FN242" s="155"/>
      <c r="FO242" s="155"/>
      <c r="FP242" s="155"/>
      <c r="FQ242" s="155"/>
      <c r="FR242" s="155"/>
      <c r="FS242" s="155"/>
      <c r="FT242" s="155"/>
      <c r="FU242" s="155"/>
      <c r="FV242" s="155"/>
      <c r="FW242" s="155"/>
      <c r="FX242" s="155"/>
      <c r="FY242" s="155"/>
      <c r="FZ242" s="155"/>
      <c r="GA242" s="155"/>
      <c r="GB242" s="155"/>
      <c r="GC242" s="155"/>
      <c r="GD242" s="155"/>
      <c r="GE242" s="155"/>
      <c r="GF242" s="155"/>
      <c r="GG242" s="155"/>
      <c r="GH242" s="155"/>
      <c r="GI242" s="155"/>
      <c r="GJ242" s="155"/>
      <c r="GK242" s="155"/>
      <c r="GL242" s="155"/>
      <c r="GM242" s="155"/>
      <c r="GN242" s="155"/>
      <c r="GO242" s="155"/>
      <c r="GP242" s="155"/>
      <c r="GQ242" s="155"/>
      <c r="GR242" s="155"/>
      <c r="GS242" s="155"/>
      <c r="GT242" s="155"/>
      <c r="GU242" s="155"/>
      <c r="GV242" s="155"/>
      <c r="GW242" s="155"/>
      <c r="GX242" s="155"/>
      <c r="GY242" s="155"/>
      <c r="GZ242" s="155"/>
      <c r="HA242" s="155"/>
      <c r="HB242" s="155"/>
      <c r="HC242" s="155"/>
      <c r="HD242" s="155"/>
      <c r="HE242" s="155"/>
      <c r="HF242" s="155"/>
      <c r="HG242" s="155"/>
      <c r="HH242" s="155"/>
      <c r="HI242" s="155"/>
      <c r="HJ242" s="155"/>
      <c r="HK242" s="155"/>
      <c r="HL242" s="155"/>
      <c r="HM242" s="155"/>
      <c r="HN242" s="155"/>
      <c r="HO242" s="155"/>
      <c r="HP242" s="155"/>
      <c r="HQ242" s="155"/>
      <c r="HR242" s="155"/>
      <c r="HS242" s="155"/>
      <c r="HT242" s="155"/>
      <c r="HU242" s="155"/>
      <c r="HV242" s="155"/>
      <c r="HW242" s="155"/>
      <c r="HX242" s="155"/>
      <c r="HY242" s="155"/>
      <c r="HZ242" s="155"/>
      <c r="IA242" s="155"/>
      <c r="IB242" s="155"/>
      <c r="IC242" s="155"/>
      <c r="ID242" s="155"/>
      <c r="IE242" s="155"/>
      <c r="IF242" s="155"/>
      <c r="IG242" s="155"/>
      <c r="IH242" s="155"/>
      <c r="II242" s="155"/>
      <c r="IJ242" s="155"/>
      <c r="IK242" s="155"/>
      <c r="IL242" s="155"/>
      <c r="IM242" s="155"/>
      <c r="IN242" s="155"/>
      <c r="IO242" s="155"/>
      <c r="IP242" s="155"/>
      <c r="IQ242" s="155"/>
      <c r="IR242" s="155"/>
      <c r="IS242" s="155"/>
      <c r="IT242" s="155"/>
      <c r="IU242" s="155"/>
      <c r="IV242" s="155"/>
    </row>
    <row r="243" spans="1:256" s="156" customFormat="1" ht="15" customHeight="1" thickBot="1">
      <c r="A243" s="49" t="s">
        <v>227</v>
      </c>
      <c r="B243" s="49" t="s">
        <v>228</v>
      </c>
      <c r="C243" s="49" t="s">
        <v>229</v>
      </c>
      <c r="D243" s="49" t="s">
        <v>230</v>
      </c>
      <c r="E243" s="83"/>
      <c r="F243" s="115"/>
      <c r="G243" s="111"/>
      <c r="H243" s="96"/>
      <c r="I243" s="96"/>
      <c r="J243" s="96"/>
      <c r="K243" s="96"/>
      <c r="L243" s="96"/>
      <c r="M243" s="96"/>
      <c r="N243" s="96"/>
      <c r="O243" s="96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H243" s="155"/>
      <c r="BI243" s="155"/>
      <c r="BJ243" s="155"/>
      <c r="BK243" s="155"/>
      <c r="BL243" s="155"/>
      <c r="BM243" s="155"/>
      <c r="BN243" s="155"/>
      <c r="BO243" s="155"/>
      <c r="BP243" s="155"/>
      <c r="BQ243" s="155"/>
      <c r="BR243" s="155"/>
      <c r="BS243" s="155"/>
      <c r="BT243" s="155"/>
      <c r="BU243" s="155"/>
      <c r="BV243" s="155"/>
      <c r="BW243" s="155"/>
      <c r="BX243" s="155"/>
      <c r="BY243" s="155"/>
      <c r="BZ243" s="155"/>
      <c r="CA243" s="155"/>
      <c r="CB243" s="155"/>
      <c r="CC243" s="155"/>
      <c r="CD243" s="155"/>
      <c r="CE243" s="155"/>
      <c r="CF243" s="155"/>
      <c r="CG243" s="155"/>
      <c r="CH243" s="155"/>
      <c r="CI243" s="155"/>
      <c r="CJ243" s="155"/>
      <c r="CK243" s="155"/>
      <c r="CL243" s="155"/>
      <c r="CM243" s="155"/>
      <c r="CN243" s="155"/>
      <c r="CO243" s="155"/>
      <c r="CP243" s="155"/>
      <c r="CQ243" s="155"/>
      <c r="CR243" s="155"/>
      <c r="CS243" s="155"/>
      <c r="CT243" s="155"/>
      <c r="CU243" s="155"/>
      <c r="CV243" s="155"/>
      <c r="CW243" s="155"/>
      <c r="CX243" s="155"/>
      <c r="CY243" s="155"/>
      <c r="CZ243" s="155"/>
      <c r="DA243" s="155"/>
      <c r="DB243" s="155"/>
      <c r="DC243" s="155"/>
      <c r="DD243" s="155"/>
      <c r="DE243" s="155"/>
      <c r="DF243" s="155"/>
      <c r="DG243" s="155"/>
      <c r="DH243" s="155"/>
      <c r="DI243" s="155"/>
      <c r="DJ243" s="155"/>
      <c r="DK243" s="155"/>
      <c r="DL243" s="155"/>
      <c r="DM243" s="155"/>
      <c r="DN243" s="155"/>
      <c r="DO243" s="155"/>
      <c r="DP243" s="155"/>
      <c r="DQ243" s="155"/>
      <c r="DR243" s="155"/>
      <c r="DS243" s="155"/>
      <c r="DT243" s="155"/>
      <c r="DU243" s="155"/>
      <c r="DV243" s="155"/>
      <c r="DW243" s="155"/>
      <c r="DX243" s="155"/>
      <c r="DY243" s="155"/>
      <c r="DZ243" s="155"/>
      <c r="EA243" s="155"/>
      <c r="EB243" s="155"/>
      <c r="EC243" s="155"/>
      <c r="ED243" s="155"/>
      <c r="EE243" s="155"/>
      <c r="EF243" s="155"/>
      <c r="EG243" s="155"/>
      <c r="EH243" s="155"/>
      <c r="EI243" s="155"/>
      <c r="EJ243" s="155"/>
      <c r="EK243" s="155"/>
      <c r="EL243" s="155"/>
      <c r="EM243" s="155"/>
      <c r="EN243" s="155"/>
      <c r="EO243" s="155"/>
      <c r="EP243" s="155"/>
      <c r="EQ243" s="155"/>
      <c r="ER243" s="155"/>
      <c r="ES243" s="155"/>
      <c r="ET243" s="155"/>
      <c r="EU243" s="155"/>
      <c r="EV243" s="155"/>
      <c r="EW243" s="155"/>
      <c r="EX243" s="155"/>
      <c r="EY243" s="155"/>
      <c r="EZ243" s="155"/>
      <c r="FA243" s="155"/>
      <c r="FB243" s="155"/>
      <c r="FC243" s="155"/>
      <c r="FD243" s="155"/>
      <c r="FE243" s="155"/>
      <c r="FF243" s="155"/>
      <c r="FG243" s="155"/>
      <c r="FH243" s="155"/>
      <c r="FI243" s="155"/>
      <c r="FJ243" s="155"/>
      <c r="FK243" s="155"/>
      <c r="FL243" s="155"/>
      <c r="FM243" s="155"/>
      <c r="FN243" s="155"/>
      <c r="FO243" s="155"/>
      <c r="FP243" s="155"/>
      <c r="FQ243" s="155"/>
      <c r="FR243" s="155"/>
      <c r="FS243" s="155"/>
      <c r="FT243" s="155"/>
      <c r="FU243" s="155"/>
      <c r="FV243" s="155"/>
      <c r="FW243" s="155"/>
      <c r="FX243" s="155"/>
      <c r="FY243" s="155"/>
      <c r="FZ243" s="155"/>
      <c r="GA243" s="155"/>
      <c r="GB243" s="155"/>
      <c r="GC243" s="155"/>
      <c r="GD243" s="155"/>
      <c r="GE243" s="155"/>
      <c r="GF243" s="155"/>
      <c r="GG243" s="155"/>
      <c r="GH243" s="155"/>
      <c r="GI243" s="155"/>
      <c r="GJ243" s="155"/>
      <c r="GK243" s="155"/>
      <c r="GL243" s="155"/>
      <c r="GM243" s="155"/>
      <c r="GN243" s="155"/>
      <c r="GO243" s="155"/>
      <c r="GP243" s="155"/>
      <c r="GQ243" s="155"/>
      <c r="GR243" s="155"/>
      <c r="GS243" s="155"/>
      <c r="GT243" s="155"/>
      <c r="GU243" s="155"/>
      <c r="GV243" s="155"/>
      <c r="GW243" s="155"/>
      <c r="GX243" s="155"/>
      <c r="GY243" s="155"/>
      <c r="GZ243" s="155"/>
      <c r="HA243" s="155"/>
      <c r="HB243" s="155"/>
      <c r="HC243" s="155"/>
      <c r="HD243" s="155"/>
      <c r="HE243" s="155"/>
      <c r="HF243" s="155"/>
      <c r="HG243" s="155"/>
      <c r="HH243" s="155"/>
      <c r="HI243" s="155"/>
      <c r="HJ243" s="155"/>
      <c r="HK243" s="155"/>
      <c r="HL243" s="155"/>
      <c r="HM243" s="155"/>
      <c r="HN243" s="155"/>
      <c r="HO243" s="155"/>
      <c r="HP243" s="155"/>
      <c r="HQ243" s="155"/>
      <c r="HR243" s="155"/>
      <c r="HS243" s="155"/>
      <c r="HT243" s="155"/>
      <c r="HU243" s="155"/>
      <c r="HV243" s="155"/>
      <c r="HW243" s="155"/>
      <c r="HX243" s="155"/>
      <c r="HY243" s="155"/>
      <c r="HZ243" s="155"/>
      <c r="IA243" s="155"/>
      <c r="IB243" s="155"/>
      <c r="IC243" s="155"/>
      <c r="ID243" s="155"/>
      <c r="IE243" s="155"/>
      <c r="IF243" s="155"/>
      <c r="IG243" s="155"/>
      <c r="IH243" s="155"/>
      <c r="II243" s="155"/>
      <c r="IJ243" s="155"/>
      <c r="IK243" s="155"/>
      <c r="IL243" s="155"/>
      <c r="IM243" s="155"/>
      <c r="IN243" s="155"/>
      <c r="IO243" s="155"/>
      <c r="IP243" s="155"/>
      <c r="IQ243" s="155"/>
      <c r="IR243" s="155"/>
      <c r="IS243" s="155"/>
      <c r="IT243" s="155"/>
      <c r="IU243" s="155"/>
      <c r="IV243" s="155"/>
    </row>
    <row r="244" spans="1:256" s="156" customFormat="1" ht="15" customHeight="1" thickTop="1" thickBot="1">
      <c r="A244" s="6">
        <v>2000</v>
      </c>
      <c r="B244" s="30">
        <f>+A244*101.974621</f>
        <v>203949.242</v>
      </c>
      <c r="C244" s="145">
        <f>+A244*0.1019716521</f>
        <v>203.9433042</v>
      </c>
      <c r="D244" s="30">
        <f>+A244*224.809025</f>
        <v>449618.05</v>
      </c>
      <c r="E244" s="83"/>
      <c r="F244" s="115"/>
      <c r="G244" s="111"/>
      <c r="H244" s="96"/>
      <c r="I244" s="96"/>
      <c r="J244" s="96"/>
      <c r="K244" s="96"/>
      <c r="L244" s="96"/>
      <c r="M244" s="96"/>
      <c r="N244" s="96"/>
      <c r="O244" s="96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  <c r="BI244" s="155"/>
      <c r="BJ244" s="155"/>
      <c r="BK244" s="155"/>
      <c r="BL244" s="155"/>
      <c r="BM244" s="155"/>
      <c r="BN244" s="155"/>
      <c r="BO244" s="155"/>
      <c r="BP244" s="155"/>
      <c r="BQ244" s="155"/>
      <c r="BR244" s="155"/>
      <c r="BS244" s="155"/>
      <c r="BT244" s="155"/>
      <c r="BU244" s="155"/>
      <c r="BV244" s="155"/>
      <c r="BW244" s="155"/>
      <c r="BX244" s="155"/>
      <c r="BY244" s="155"/>
      <c r="BZ244" s="155"/>
      <c r="CA244" s="155"/>
      <c r="CB244" s="155"/>
      <c r="CC244" s="155"/>
      <c r="CD244" s="155"/>
      <c r="CE244" s="155"/>
      <c r="CF244" s="155"/>
      <c r="CG244" s="155"/>
      <c r="CH244" s="155"/>
      <c r="CI244" s="155"/>
      <c r="CJ244" s="155"/>
      <c r="CK244" s="155"/>
      <c r="CL244" s="155"/>
      <c r="CM244" s="155"/>
      <c r="CN244" s="155"/>
      <c r="CO244" s="155"/>
      <c r="CP244" s="155"/>
      <c r="CQ244" s="155"/>
      <c r="CR244" s="155"/>
      <c r="CS244" s="155"/>
      <c r="CT244" s="155"/>
      <c r="CU244" s="155"/>
      <c r="CV244" s="155"/>
      <c r="CW244" s="155"/>
      <c r="CX244" s="155"/>
      <c r="CY244" s="155"/>
      <c r="CZ244" s="155"/>
      <c r="DA244" s="155"/>
      <c r="DB244" s="155"/>
      <c r="DC244" s="155"/>
      <c r="DD244" s="155"/>
      <c r="DE244" s="155"/>
      <c r="DF244" s="155"/>
      <c r="DG244" s="155"/>
      <c r="DH244" s="155"/>
      <c r="DI244" s="155"/>
      <c r="DJ244" s="155"/>
      <c r="DK244" s="155"/>
      <c r="DL244" s="155"/>
      <c r="DM244" s="155"/>
      <c r="DN244" s="155"/>
      <c r="DO244" s="155"/>
      <c r="DP244" s="155"/>
      <c r="DQ244" s="155"/>
      <c r="DR244" s="155"/>
      <c r="DS244" s="155"/>
      <c r="DT244" s="155"/>
      <c r="DU244" s="155"/>
      <c r="DV244" s="155"/>
      <c r="DW244" s="155"/>
      <c r="DX244" s="155"/>
      <c r="DY244" s="155"/>
      <c r="DZ244" s="155"/>
      <c r="EA244" s="155"/>
      <c r="EB244" s="155"/>
      <c r="EC244" s="155"/>
      <c r="ED244" s="155"/>
      <c r="EE244" s="155"/>
      <c r="EF244" s="155"/>
      <c r="EG244" s="155"/>
      <c r="EH244" s="155"/>
      <c r="EI244" s="155"/>
      <c r="EJ244" s="155"/>
      <c r="EK244" s="155"/>
      <c r="EL244" s="155"/>
      <c r="EM244" s="155"/>
      <c r="EN244" s="155"/>
      <c r="EO244" s="155"/>
      <c r="EP244" s="155"/>
      <c r="EQ244" s="155"/>
      <c r="ER244" s="155"/>
      <c r="ES244" s="155"/>
      <c r="ET244" s="155"/>
      <c r="EU244" s="155"/>
      <c r="EV244" s="155"/>
      <c r="EW244" s="155"/>
      <c r="EX244" s="155"/>
      <c r="EY244" s="155"/>
      <c r="EZ244" s="155"/>
      <c r="FA244" s="155"/>
      <c r="FB244" s="155"/>
      <c r="FC244" s="155"/>
      <c r="FD244" s="155"/>
      <c r="FE244" s="155"/>
      <c r="FF244" s="155"/>
      <c r="FG244" s="155"/>
      <c r="FH244" s="155"/>
      <c r="FI244" s="155"/>
      <c r="FJ244" s="155"/>
      <c r="FK244" s="155"/>
      <c r="FL244" s="155"/>
      <c r="FM244" s="155"/>
      <c r="FN244" s="155"/>
      <c r="FO244" s="155"/>
      <c r="FP244" s="155"/>
      <c r="FQ244" s="155"/>
      <c r="FR244" s="155"/>
      <c r="FS244" s="155"/>
      <c r="FT244" s="155"/>
      <c r="FU244" s="155"/>
      <c r="FV244" s="155"/>
      <c r="FW244" s="155"/>
      <c r="FX244" s="155"/>
      <c r="FY244" s="155"/>
      <c r="FZ244" s="155"/>
      <c r="GA244" s="155"/>
      <c r="GB244" s="155"/>
      <c r="GC244" s="155"/>
      <c r="GD244" s="155"/>
      <c r="GE244" s="155"/>
      <c r="GF244" s="155"/>
      <c r="GG244" s="155"/>
      <c r="GH244" s="155"/>
      <c r="GI244" s="155"/>
      <c r="GJ244" s="155"/>
      <c r="GK244" s="155"/>
      <c r="GL244" s="155"/>
      <c r="GM244" s="155"/>
      <c r="GN244" s="155"/>
      <c r="GO244" s="155"/>
      <c r="GP244" s="155"/>
      <c r="GQ244" s="155"/>
      <c r="GR244" s="155"/>
      <c r="GS244" s="155"/>
      <c r="GT244" s="155"/>
      <c r="GU244" s="155"/>
      <c r="GV244" s="155"/>
      <c r="GW244" s="155"/>
      <c r="GX244" s="155"/>
      <c r="GY244" s="155"/>
      <c r="GZ244" s="155"/>
      <c r="HA244" s="155"/>
      <c r="HB244" s="155"/>
      <c r="HC244" s="155"/>
      <c r="HD244" s="155"/>
      <c r="HE244" s="155"/>
      <c r="HF244" s="155"/>
      <c r="HG244" s="155"/>
      <c r="HH244" s="155"/>
      <c r="HI244" s="155"/>
      <c r="HJ244" s="155"/>
      <c r="HK244" s="155"/>
      <c r="HL244" s="155"/>
      <c r="HM244" s="155"/>
      <c r="HN244" s="155"/>
      <c r="HO244" s="155"/>
      <c r="HP244" s="155"/>
      <c r="HQ244" s="155"/>
      <c r="HR244" s="155"/>
      <c r="HS244" s="155"/>
      <c r="HT244" s="155"/>
      <c r="HU244" s="155"/>
      <c r="HV244" s="155"/>
      <c r="HW244" s="155"/>
      <c r="HX244" s="155"/>
      <c r="HY244" s="155"/>
      <c r="HZ244" s="155"/>
      <c r="IA244" s="155"/>
      <c r="IB244" s="155"/>
      <c r="IC244" s="155"/>
      <c r="ID244" s="155"/>
      <c r="IE244" s="155"/>
      <c r="IF244" s="155"/>
      <c r="IG244" s="155"/>
      <c r="IH244" s="155"/>
      <c r="II244" s="155"/>
      <c r="IJ244" s="155"/>
      <c r="IK244" s="155"/>
      <c r="IL244" s="155"/>
      <c r="IM244" s="155"/>
      <c r="IN244" s="155"/>
      <c r="IO244" s="155"/>
      <c r="IP244" s="155"/>
      <c r="IQ244" s="155"/>
      <c r="IR244" s="155"/>
      <c r="IS244" s="155"/>
      <c r="IT244" s="155"/>
      <c r="IU244" s="155"/>
      <c r="IV244" s="155"/>
    </row>
    <row r="245" spans="1:256" s="156" customFormat="1" ht="15" customHeight="1" thickTop="1" thickBot="1">
      <c r="A245" s="9">
        <f>C245*9.80665</f>
        <v>0.98066500000000001</v>
      </c>
      <c r="B245" s="24">
        <v>100</v>
      </c>
      <c r="C245" s="145">
        <f>+B245*0.001</f>
        <v>0.1</v>
      </c>
      <c r="D245" s="30">
        <f>+B245*2.20462342</f>
        <v>220.46234199999998</v>
      </c>
      <c r="E245" s="83"/>
      <c r="F245" s="115"/>
      <c r="G245" s="111"/>
      <c r="H245" s="96"/>
      <c r="I245" s="96"/>
      <c r="J245" s="96"/>
      <c r="K245" s="96"/>
      <c r="L245" s="96"/>
      <c r="M245" s="96"/>
      <c r="N245" s="96"/>
      <c r="O245" s="96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/>
      <c r="BH245" s="155"/>
      <c r="BI245" s="155"/>
      <c r="BJ245" s="155"/>
      <c r="BK245" s="155"/>
      <c r="BL245" s="155"/>
      <c r="BM245" s="155"/>
      <c r="BN245" s="155"/>
      <c r="BO245" s="155"/>
      <c r="BP245" s="155"/>
      <c r="BQ245" s="155"/>
      <c r="BR245" s="155"/>
      <c r="BS245" s="155"/>
      <c r="BT245" s="155"/>
      <c r="BU245" s="155"/>
      <c r="BV245" s="155"/>
      <c r="BW245" s="155"/>
      <c r="BX245" s="155"/>
      <c r="BY245" s="155"/>
      <c r="BZ245" s="155"/>
      <c r="CA245" s="155"/>
      <c r="CB245" s="155"/>
      <c r="CC245" s="155"/>
      <c r="CD245" s="155"/>
      <c r="CE245" s="155"/>
      <c r="CF245" s="155"/>
      <c r="CG245" s="155"/>
      <c r="CH245" s="155"/>
      <c r="CI245" s="155"/>
      <c r="CJ245" s="155"/>
      <c r="CK245" s="155"/>
      <c r="CL245" s="155"/>
      <c r="CM245" s="155"/>
      <c r="CN245" s="155"/>
      <c r="CO245" s="155"/>
      <c r="CP245" s="155"/>
      <c r="CQ245" s="155"/>
      <c r="CR245" s="155"/>
      <c r="CS245" s="155"/>
      <c r="CT245" s="155"/>
      <c r="CU245" s="155"/>
      <c r="CV245" s="155"/>
      <c r="CW245" s="155"/>
      <c r="CX245" s="155"/>
      <c r="CY245" s="155"/>
      <c r="CZ245" s="155"/>
      <c r="DA245" s="155"/>
      <c r="DB245" s="155"/>
      <c r="DC245" s="155"/>
      <c r="DD245" s="155"/>
      <c r="DE245" s="155"/>
      <c r="DF245" s="155"/>
      <c r="DG245" s="155"/>
      <c r="DH245" s="155"/>
      <c r="DI245" s="155"/>
      <c r="DJ245" s="155"/>
      <c r="DK245" s="155"/>
      <c r="DL245" s="155"/>
      <c r="DM245" s="155"/>
      <c r="DN245" s="155"/>
      <c r="DO245" s="155"/>
      <c r="DP245" s="155"/>
      <c r="DQ245" s="155"/>
      <c r="DR245" s="155"/>
      <c r="DS245" s="155"/>
      <c r="DT245" s="155"/>
      <c r="DU245" s="155"/>
      <c r="DV245" s="155"/>
      <c r="DW245" s="155"/>
      <c r="DX245" s="155"/>
      <c r="DY245" s="155"/>
      <c r="DZ245" s="155"/>
      <c r="EA245" s="155"/>
      <c r="EB245" s="155"/>
      <c r="EC245" s="155"/>
      <c r="ED245" s="155"/>
      <c r="EE245" s="155"/>
      <c r="EF245" s="155"/>
      <c r="EG245" s="155"/>
      <c r="EH245" s="155"/>
      <c r="EI245" s="155"/>
      <c r="EJ245" s="155"/>
      <c r="EK245" s="155"/>
      <c r="EL245" s="155"/>
      <c r="EM245" s="155"/>
      <c r="EN245" s="155"/>
      <c r="EO245" s="155"/>
      <c r="EP245" s="155"/>
      <c r="EQ245" s="155"/>
      <c r="ER245" s="155"/>
      <c r="ES245" s="155"/>
      <c r="ET245" s="155"/>
      <c r="EU245" s="155"/>
      <c r="EV245" s="155"/>
      <c r="EW245" s="155"/>
      <c r="EX245" s="155"/>
      <c r="EY245" s="155"/>
      <c r="EZ245" s="155"/>
      <c r="FA245" s="155"/>
      <c r="FB245" s="155"/>
      <c r="FC245" s="155"/>
      <c r="FD245" s="155"/>
      <c r="FE245" s="155"/>
      <c r="FF245" s="155"/>
      <c r="FG245" s="155"/>
      <c r="FH245" s="155"/>
      <c r="FI245" s="155"/>
      <c r="FJ245" s="155"/>
      <c r="FK245" s="155"/>
      <c r="FL245" s="155"/>
      <c r="FM245" s="155"/>
      <c r="FN245" s="155"/>
      <c r="FO245" s="155"/>
      <c r="FP245" s="155"/>
      <c r="FQ245" s="155"/>
      <c r="FR245" s="155"/>
      <c r="FS245" s="155"/>
      <c r="FT245" s="155"/>
      <c r="FU245" s="155"/>
      <c r="FV245" s="155"/>
      <c r="FW245" s="155"/>
      <c r="FX245" s="155"/>
      <c r="FY245" s="155"/>
      <c r="FZ245" s="155"/>
      <c r="GA245" s="155"/>
      <c r="GB245" s="155"/>
      <c r="GC245" s="155"/>
      <c r="GD245" s="155"/>
      <c r="GE245" s="155"/>
      <c r="GF245" s="155"/>
      <c r="GG245" s="155"/>
      <c r="GH245" s="155"/>
      <c r="GI245" s="155"/>
      <c r="GJ245" s="155"/>
      <c r="GK245" s="155"/>
      <c r="GL245" s="155"/>
      <c r="GM245" s="155"/>
      <c r="GN245" s="155"/>
      <c r="GO245" s="155"/>
      <c r="GP245" s="155"/>
      <c r="GQ245" s="155"/>
      <c r="GR245" s="155"/>
      <c r="GS245" s="155"/>
      <c r="GT245" s="155"/>
      <c r="GU245" s="155"/>
      <c r="GV245" s="155"/>
      <c r="GW245" s="155"/>
      <c r="GX245" s="155"/>
      <c r="GY245" s="155"/>
      <c r="GZ245" s="155"/>
      <c r="HA245" s="155"/>
      <c r="HB245" s="155"/>
      <c r="HC245" s="155"/>
      <c r="HD245" s="155"/>
      <c r="HE245" s="155"/>
      <c r="HF245" s="155"/>
      <c r="HG245" s="155"/>
      <c r="HH245" s="155"/>
      <c r="HI245" s="155"/>
      <c r="HJ245" s="155"/>
      <c r="HK245" s="155"/>
      <c r="HL245" s="155"/>
      <c r="HM245" s="155"/>
      <c r="HN245" s="155"/>
      <c r="HO245" s="155"/>
      <c r="HP245" s="155"/>
      <c r="HQ245" s="155"/>
      <c r="HR245" s="155"/>
      <c r="HS245" s="155"/>
      <c r="HT245" s="155"/>
      <c r="HU245" s="155"/>
      <c r="HV245" s="155"/>
      <c r="HW245" s="155"/>
      <c r="HX245" s="155"/>
      <c r="HY245" s="155"/>
      <c r="HZ245" s="155"/>
      <c r="IA245" s="155"/>
      <c r="IB245" s="155"/>
      <c r="IC245" s="155"/>
      <c r="ID245" s="155"/>
      <c r="IE245" s="155"/>
      <c r="IF245" s="155"/>
      <c r="IG245" s="155"/>
      <c r="IH245" s="155"/>
      <c r="II245" s="155"/>
      <c r="IJ245" s="155"/>
      <c r="IK245" s="155"/>
      <c r="IL245" s="155"/>
      <c r="IM245" s="155"/>
      <c r="IN245" s="155"/>
      <c r="IO245" s="155"/>
      <c r="IP245" s="155"/>
      <c r="IQ245" s="155"/>
      <c r="IR245" s="155"/>
      <c r="IS245" s="155"/>
      <c r="IT245" s="155"/>
      <c r="IU245" s="155"/>
      <c r="IV245" s="155"/>
    </row>
    <row r="246" spans="1:256" s="156" customFormat="1" ht="15" customHeight="1" thickTop="1" thickBot="1">
      <c r="A246" s="9">
        <f>+C246*9.80665</f>
        <v>1800.5009399999999</v>
      </c>
      <c r="B246" s="30">
        <f>+C246*1000</f>
        <v>183600</v>
      </c>
      <c r="C246" s="6">
        <v>183.6</v>
      </c>
      <c r="D246" s="30">
        <f>+C246*2204.62342</f>
        <v>404768.85991199996</v>
      </c>
      <c r="E246" s="83"/>
      <c r="F246" s="115"/>
      <c r="G246" s="111"/>
      <c r="H246" s="96"/>
      <c r="I246" s="96"/>
      <c r="J246" s="96"/>
      <c r="K246" s="96"/>
      <c r="L246" s="96"/>
      <c r="M246" s="96"/>
      <c r="N246" s="96"/>
      <c r="O246" s="96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/>
      <c r="BH246" s="155"/>
      <c r="BI246" s="155"/>
      <c r="BJ246" s="155"/>
      <c r="BK246" s="155"/>
      <c r="BL246" s="155"/>
      <c r="BM246" s="155"/>
      <c r="BN246" s="155"/>
      <c r="BO246" s="155"/>
      <c r="BP246" s="155"/>
      <c r="BQ246" s="155"/>
      <c r="BR246" s="155"/>
      <c r="BS246" s="155"/>
      <c r="BT246" s="155"/>
      <c r="BU246" s="155"/>
      <c r="BV246" s="155"/>
      <c r="BW246" s="155"/>
      <c r="BX246" s="155"/>
      <c r="BY246" s="155"/>
      <c r="BZ246" s="155"/>
      <c r="CA246" s="155"/>
      <c r="CB246" s="155"/>
      <c r="CC246" s="155"/>
      <c r="CD246" s="155"/>
      <c r="CE246" s="155"/>
      <c r="CF246" s="155"/>
      <c r="CG246" s="155"/>
      <c r="CH246" s="155"/>
      <c r="CI246" s="155"/>
      <c r="CJ246" s="155"/>
      <c r="CK246" s="155"/>
      <c r="CL246" s="155"/>
      <c r="CM246" s="155"/>
      <c r="CN246" s="155"/>
      <c r="CO246" s="155"/>
      <c r="CP246" s="155"/>
      <c r="CQ246" s="155"/>
      <c r="CR246" s="155"/>
      <c r="CS246" s="155"/>
      <c r="CT246" s="155"/>
      <c r="CU246" s="155"/>
      <c r="CV246" s="155"/>
      <c r="CW246" s="155"/>
      <c r="CX246" s="155"/>
      <c r="CY246" s="155"/>
      <c r="CZ246" s="155"/>
      <c r="DA246" s="155"/>
      <c r="DB246" s="155"/>
      <c r="DC246" s="155"/>
      <c r="DD246" s="155"/>
      <c r="DE246" s="155"/>
      <c r="DF246" s="155"/>
      <c r="DG246" s="155"/>
      <c r="DH246" s="155"/>
      <c r="DI246" s="155"/>
      <c r="DJ246" s="155"/>
      <c r="DK246" s="155"/>
      <c r="DL246" s="155"/>
      <c r="DM246" s="155"/>
      <c r="DN246" s="155"/>
      <c r="DO246" s="155"/>
      <c r="DP246" s="155"/>
      <c r="DQ246" s="155"/>
      <c r="DR246" s="155"/>
      <c r="DS246" s="155"/>
      <c r="DT246" s="155"/>
      <c r="DU246" s="155"/>
      <c r="DV246" s="155"/>
      <c r="DW246" s="155"/>
      <c r="DX246" s="155"/>
      <c r="DY246" s="155"/>
      <c r="DZ246" s="155"/>
      <c r="EA246" s="155"/>
      <c r="EB246" s="155"/>
      <c r="EC246" s="155"/>
      <c r="ED246" s="155"/>
      <c r="EE246" s="155"/>
      <c r="EF246" s="155"/>
      <c r="EG246" s="155"/>
      <c r="EH246" s="155"/>
      <c r="EI246" s="155"/>
      <c r="EJ246" s="155"/>
      <c r="EK246" s="155"/>
      <c r="EL246" s="155"/>
      <c r="EM246" s="155"/>
      <c r="EN246" s="155"/>
      <c r="EO246" s="155"/>
      <c r="EP246" s="155"/>
      <c r="EQ246" s="155"/>
      <c r="ER246" s="155"/>
      <c r="ES246" s="155"/>
      <c r="ET246" s="155"/>
      <c r="EU246" s="155"/>
      <c r="EV246" s="155"/>
      <c r="EW246" s="155"/>
      <c r="EX246" s="155"/>
      <c r="EY246" s="155"/>
      <c r="EZ246" s="155"/>
      <c r="FA246" s="155"/>
      <c r="FB246" s="155"/>
      <c r="FC246" s="155"/>
      <c r="FD246" s="155"/>
      <c r="FE246" s="155"/>
      <c r="FF246" s="155"/>
      <c r="FG246" s="155"/>
      <c r="FH246" s="155"/>
      <c r="FI246" s="155"/>
      <c r="FJ246" s="155"/>
      <c r="FK246" s="155"/>
      <c r="FL246" s="155"/>
      <c r="FM246" s="155"/>
      <c r="FN246" s="155"/>
      <c r="FO246" s="155"/>
      <c r="FP246" s="155"/>
      <c r="FQ246" s="155"/>
      <c r="FR246" s="155"/>
      <c r="FS246" s="155"/>
      <c r="FT246" s="155"/>
      <c r="FU246" s="155"/>
      <c r="FV246" s="155"/>
      <c r="FW246" s="155"/>
      <c r="FX246" s="155"/>
      <c r="FY246" s="155"/>
      <c r="FZ246" s="155"/>
      <c r="GA246" s="155"/>
      <c r="GB246" s="155"/>
      <c r="GC246" s="155"/>
      <c r="GD246" s="155"/>
      <c r="GE246" s="155"/>
      <c r="GF246" s="155"/>
      <c r="GG246" s="155"/>
      <c r="GH246" s="155"/>
      <c r="GI246" s="155"/>
      <c r="GJ246" s="155"/>
      <c r="GK246" s="155"/>
      <c r="GL246" s="155"/>
      <c r="GM246" s="155"/>
      <c r="GN246" s="155"/>
      <c r="GO246" s="155"/>
      <c r="GP246" s="155"/>
      <c r="GQ246" s="155"/>
      <c r="GR246" s="155"/>
      <c r="GS246" s="155"/>
      <c r="GT246" s="155"/>
      <c r="GU246" s="155"/>
      <c r="GV246" s="155"/>
      <c r="GW246" s="155"/>
      <c r="GX246" s="155"/>
      <c r="GY246" s="155"/>
      <c r="GZ246" s="155"/>
      <c r="HA246" s="155"/>
      <c r="HB246" s="155"/>
      <c r="HC246" s="155"/>
      <c r="HD246" s="155"/>
      <c r="HE246" s="155"/>
      <c r="HF246" s="155"/>
      <c r="HG246" s="155"/>
      <c r="HH246" s="155"/>
      <c r="HI246" s="155"/>
      <c r="HJ246" s="155"/>
      <c r="HK246" s="155"/>
      <c r="HL246" s="155"/>
      <c r="HM246" s="155"/>
      <c r="HN246" s="155"/>
      <c r="HO246" s="155"/>
      <c r="HP246" s="155"/>
      <c r="HQ246" s="155"/>
      <c r="HR246" s="155"/>
      <c r="HS246" s="155"/>
      <c r="HT246" s="155"/>
      <c r="HU246" s="155"/>
      <c r="HV246" s="155"/>
      <c r="HW246" s="155"/>
      <c r="HX246" s="155"/>
      <c r="HY246" s="155"/>
      <c r="HZ246" s="155"/>
      <c r="IA246" s="155"/>
      <c r="IB246" s="155"/>
      <c r="IC246" s="155"/>
      <c r="ID246" s="155"/>
      <c r="IE246" s="155"/>
      <c r="IF246" s="155"/>
      <c r="IG246" s="155"/>
      <c r="IH246" s="155"/>
      <c r="II246" s="155"/>
      <c r="IJ246" s="155"/>
      <c r="IK246" s="155"/>
      <c r="IL246" s="155"/>
      <c r="IM246" s="155"/>
      <c r="IN246" s="155"/>
      <c r="IO246" s="155"/>
      <c r="IP246" s="155"/>
      <c r="IQ246" s="155"/>
      <c r="IR246" s="155"/>
      <c r="IS246" s="155"/>
      <c r="IT246" s="155"/>
      <c r="IU246" s="155"/>
      <c r="IV246" s="155"/>
    </row>
    <row r="247" spans="1:256" s="156" customFormat="1" ht="15" customHeight="1" thickTop="1" thickBot="1">
      <c r="A247" s="9">
        <f>+D247*0.00444822</f>
        <v>4.4482200000000001E-3</v>
      </c>
      <c r="B247" s="30">
        <f>+D247*0.453592205</f>
        <v>0.45359220500000003</v>
      </c>
      <c r="C247" s="145">
        <f>+D247*0.000453592205</f>
        <v>4.53592205E-4</v>
      </c>
      <c r="D247" s="24">
        <v>1</v>
      </c>
      <c r="E247" s="83"/>
      <c r="F247" s="115"/>
      <c r="G247" s="111"/>
      <c r="H247" s="96"/>
      <c r="I247" s="96"/>
      <c r="J247" s="96"/>
      <c r="K247" s="96"/>
      <c r="L247" s="96"/>
      <c r="M247" s="96"/>
      <c r="N247" s="96"/>
      <c r="O247" s="96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H247" s="155"/>
      <c r="BI247" s="155"/>
      <c r="BJ247" s="155"/>
      <c r="BK247" s="155"/>
      <c r="BL247" s="155"/>
      <c r="BM247" s="155"/>
      <c r="BN247" s="155"/>
      <c r="BO247" s="155"/>
      <c r="BP247" s="155"/>
      <c r="BQ247" s="155"/>
      <c r="BR247" s="155"/>
      <c r="BS247" s="155"/>
      <c r="BT247" s="155"/>
      <c r="BU247" s="155"/>
      <c r="BV247" s="155"/>
      <c r="BW247" s="155"/>
      <c r="BX247" s="155"/>
      <c r="BY247" s="155"/>
      <c r="BZ247" s="155"/>
      <c r="CA247" s="155"/>
      <c r="CB247" s="155"/>
      <c r="CC247" s="155"/>
      <c r="CD247" s="155"/>
      <c r="CE247" s="155"/>
      <c r="CF247" s="155"/>
      <c r="CG247" s="155"/>
      <c r="CH247" s="155"/>
      <c r="CI247" s="155"/>
      <c r="CJ247" s="155"/>
      <c r="CK247" s="155"/>
      <c r="CL247" s="155"/>
      <c r="CM247" s="155"/>
      <c r="CN247" s="155"/>
      <c r="CO247" s="155"/>
      <c r="CP247" s="155"/>
      <c r="CQ247" s="155"/>
      <c r="CR247" s="155"/>
      <c r="CS247" s="155"/>
      <c r="CT247" s="155"/>
      <c r="CU247" s="155"/>
      <c r="CV247" s="155"/>
      <c r="CW247" s="155"/>
      <c r="CX247" s="155"/>
      <c r="CY247" s="155"/>
      <c r="CZ247" s="155"/>
      <c r="DA247" s="155"/>
      <c r="DB247" s="155"/>
      <c r="DC247" s="155"/>
      <c r="DD247" s="155"/>
      <c r="DE247" s="155"/>
      <c r="DF247" s="155"/>
      <c r="DG247" s="155"/>
      <c r="DH247" s="155"/>
      <c r="DI247" s="155"/>
      <c r="DJ247" s="155"/>
      <c r="DK247" s="155"/>
      <c r="DL247" s="155"/>
      <c r="DM247" s="155"/>
      <c r="DN247" s="155"/>
      <c r="DO247" s="155"/>
      <c r="DP247" s="155"/>
      <c r="DQ247" s="155"/>
      <c r="DR247" s="155"/>
      <c r="DS247" s="155"/>
      <c r="DT247" s="155"/>
      <c r="DU247" s="155"/>
      <c r="DV247" s="155"/>
      <c r="DW247" s="155"/>
      <c r="DX247" s="155"/>
      <c r="DY247" s="155"/>
      <c r="DZ247" s="155"/>
      <c r="EA247" s="155"/>
      <c r="EB247" s="155"/>
      <c r="EC247" s="155"/>
      <c r="ED247" s="155"/>
      <c r="EE247" s="155"/>
      <c r="EF247" s="155"/>
      <c r="EG247" s="155"/>
      <c r="EH247" s="155"/>
      <c r="EI247" s="155"/>
      <c r="EJ247" s="155"/>
      <c r="EK247" s="155"/>
      <c r="EL247" s="155"/>
      <c r="EM247" s="155"/>
      <c r="EN247" s="155"/>
      <c r="EO247" s="155"/>
      <c r="EP247" s="155"/>
      <c r="EQ247" s="155"/>
      <c r="ER247" s="155"/>
      <c r="ES247" s="155"/>
      <c r="ET247" s="155"/>
      <c r="EU247" s="155"/>
      <c r="EV247" s="155"/>
      <c r="EW247" s="155"/>
      <c r="EX247" s="155"/>
      <c r="EY247" s="155"/>
      <c r="EZ247" s="155"/>
      <c r="FA247" s="155"/>
      <c r="FB247" s="155"/>
      <c r="FC247" s="155"/>
      <c r="FD247" s="155"/>
      <c r="FE247" s="155"/>
      <c r="FF247" s="155"/>
      <c r="FG247" s="155"/>
      <c r="FH247" s="155"/>
      <c r="FI247" s="155"/>
      <c r="FJ247" s="155"/>
      <c r="FK247" s="155"/>
      <c r="FL247" s="155"/>
      <c r="FM247" s="155"/>
      <c r="FN247" s="155"/>
      <c r="FO247" s="155"/>
      <c r="FP247" s="155"/>
      <c r="FQ247" s="155"/>
      <c r="FR247" s="155"/>
      <c r="FS247" s="155"/>
      <c r="FT247" s="155"/>
      <c r="FU247" s="155"/>
      <c r="FV247" s="155"/>
      <c r="FW247" s="155"/>
      <c r="FX247" s="155"/>
      <c r="FY247" s="155"/>
      <c r="FZ247" s="155"/>
      <c r="GA247" s="155"/>
      <c r="GB247" s="155"/>
      <c r="GC247" s="155"/>
      <c r="GD247" s="155"/>
      <c r="GE247" s="155"/>
      <c r="GF247" s="155"/>
      <c r="GG247" s="155"/>
      <c r="GH247" s="155"/>
      <c r="GI247" s="155"/>
      <c r="GJ247" s="155"/>
      <c r="GK247" s="155"/>
      <c r="GL247" s="155"/>
      <c r="GM247" s="155"/>
      <c r="GN247" s="155"/>
      <c r="GO247" s="155"/>
      <c r="GP247" s="155"/>
      <c r="GQ247" s="155"/>
      <c r="GR247" s="155"/>
      <c r="GS247" s="155"/>
      <c r="GT247" s="155"/>
      <c r="GU247" s="155"/>
      <c r="GV247" s="155"/>
      <c r="GW247" s="155"/>
      <c r="GX247" s="155"/>
      <c r="GY247" s="155"/>
      <c r="GZ247" s="155"/>
      <c r="HA247" s="155"/>
      <c r="HB247" s="155"/>
      <c r="HC247" s="155"/>
      <c r="HD247" s="155"/>
      <c r="HE247" s="155"/>
      <c r="HF247" s="155"/>
      <c r="HG247" s="155"/>
      <c r="HH247" s="155"/>
      <c r="HI247" s="155"/>
      <c r="HJ247" s="155"/>
      <c r="HK247" s="155"/>
      <c r="HL247" s="155"/>
      <c r="HM247" s="155"/>
      <c r="HN247" s="155"/>
      <c r="HO247" s="155"/>
      <c r="HP247" s="155"/>
      <c r="HQ247" s="155"/>
      <c r="HR247" s="155"/>
      <c r="HS247" s="155"/>
      <c r="HT247" s="155"/>
      <c r="HU247" s="155"/>
      <c r="HV247" s="155"/>
      <c r="HW247" s="155"/>
      <c r="HX247" s="155"/>
      <c r="HY247" s="155"/>
      <c r="HZ247" s="155"/>
      <c r="IA247" s="155"/>
      <c r="IB247" s="155"/>
      <c r="IC247" s="155"/>
      <c r="ID247" s="155"/>
      <c r="IE247" s="155"/>
      <c r="IF247" s="155"/>
      <c r="IG247" s="155"/>
      <c r="IH247" s="155"/>
      <c r="II247" s="155"/>
      <c r="IJ247" s="155"/>
      <c r="IK247" s="155"/>
      <c r="IL247" s="155"/>
      <c r="IM247" s="155"/>
      <c r="IN247" s="155"/>
      <c r="IO247" s="155"/>
      <c r="IP247" s="155"/>
      <c r="IQ247" s="155"/>
      <c r="IR247" s="155"/>
      <c r="IS247" s="155"/>
      <c r="IT247" s="155"/>
      <c r="IU247" s="155"/>
      <c r="IV247" s="155"/>
    </row>
    <row r="248" spans="1:256" s="156" customFormat="1" ht="15" customHeight="1" thickTop="1">
      <c r="A248" s="129"/>
      <c r="B248" s="129"/>
      <c r="C248" s="92"/>
      <c r="D248" s="92"/>
      <c r="E248" s="115"/>
      <c r="F248" s="115"/>
      <c r="G248" s="111"/>
      <c r="H248" s="96"/>
      <c r="I248" s="96"/>
      <c r="J248" s="96"/>
      <c r="K248" s="96"/>
      <c r="L248" s="96"/>
      <c r="M248" s="96"/>
      <c r="N248" s="96"/>
      <c r="O248" s="96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/>
      <c r="BH248" s="155"/>
      <c r="BI248" s="155"/>
      <c r="BJ248" s="155"/>
      <c r="BK248" s="155"/>
      <c r="BL248" s="155"/>
      <c r="BM248" s="155"/>
      <c r="BN248" s="155"/>
      <c r="BO248" s="155"/>
      <c r="BP248" s="155"/>
      <c r="BQ248" s="155"/>
      <c r="BR248" s="155"/>
      <c r="BS248" s="155"/>
      <c r="BT248" s="155"/>
      <c r="BU248" s="155"/>
      <c r="BV248" s="155"/>
      <c r="BW248" s="155"/>
      <c r="BX248" s="155"/>
      <c r="BY248" s="155"/>
      <c r="BZ248" s="155"/>
      <c r="CA248" s="155"/>
      <c r="CB248" s="155"/>
      <c r="CC248" s="155"/>
      <c r="CD248" s="155"/>
      <c r="CE248" s="155"/>
      <c r="CF248" s="155"/>
      <c r="CG248" s="155"/>
      <c r="CH248" s="155"/>
      <c r="CI248" s="155"/>
      <c r="CJ248" s="155"/>
      <c r="CK248" s="155"/>
      <c r="CL248" s="155"/>
      <c r="CM248" s="155"/>
      <c r="CN248" s="155"/>
      <c r="CO248" s="155"/>
      <c r="CP248" s="155"/>
      <c r="CQ248" s="155"/>
      <c r="CR248" s="155"/>
      <c r="CS248" s="155"/>
      <c r="CT248" s="155"/>
      <c r="CU248" s="155"/>
      <c r="CV248" s="155"/>
      <c r="CW248" s="155"/>
      <c r="CX248" s="155"/>
      <c r="CY248" s="155"/>
      <c r="CZ248" s="155"/>
      <c r="DA248" s="155"/>
      <c r="DB248" s="155"/>
      <c r="DC248" s="155"/>
      <c r="DD248" s="155"/>
      <c r="DE248" s="155"/>
      <c r="DF248" s="155"/>
      <c r="DG248" s="155"/>
      <c r="DH248" s="155"/>
      <c r="DI248" s="155"/>
      <c r="DJ248" s="155"/>
      <c r="DK248" s="155"/>
      <c r="DL248" s="155"/>
      <c r="DM248" s="155"/>
      <c r="DN248" s="155"/>
      <c r="DO248" s="155"/>
      <c r="DP248" s="155"/>
      <c r="DQ248" s="155"/>
      <c r="DR248" s="155"/>
      <c r="DS248" s="155"/>
      <c r="DT248" s="155"/>
      <c r="DU248" s="155"/>
      <c r="DV248" s="155"/>
      <c r="DW248" s="155"/>
      <c r="DX248" s="155"/>
      <c r="DY248" s="155"/>
      <c r="DZ248" s="155"/>
      <c r="EA248" s="155"/>
      <c r="EB248" s="155"/>
      <c r="EC248" s="155"/>
      <c r="ED248" s="155"/>
      <c r="EE248" s="155"/>
      <c r="EF248" s="155"/>
      <c r="EG248" s="155"/>
      <c r="EH248" s="155"/>
      <c r="EI248" s="155"/>
      <c r="EJ248" s="155"/>
      <c r="EK248" s="155"/>
      <c r="EL248" s="155"/>
      <c r="EM248" s="155"/>
      <c r="EN248" s="155"/>
      <c r="EO248" s="155"/>
      <c r="EP248" s="155"/>
      <c r="EQ248" s="155"/>
      <c r="ER248" s="155"/>
      <c r="ES248" s="155"/>
      <c r="ET248" s="155"/>
      <c r="EU248" s="155"/>
      <c r="EV248" s="155"/>
      <c r="EW248" s="155"/>
      <c r="EX248" s="155"/>
      <c r="EY248" s="155"/>
      <c r="EZ248" s="155"/>
      <c r="FA248" s="155"/>
      <c r="FB248" s="155"/>
      <c r="FC248" s="155"/>
      <c r="FD248" s="155"/>
      <c r="FE248" s="155"/>
      <c r="FF248" s="155"/>
      <c r="FG248" s="155"/>
      <c r="FH248" s="155"/>
      <c r="FI248" s="155"/>
      <c r="FJ248" s="155"/>
      <c r="FK248" s="155"/>
      <c r="FL248" s="155"/>
      <c r="FM248" s="155"/>
      <c r="FN248" s="155"/>
      <c r="FO248" s="155"/>
      <c r="FP248" s="155"/>
      <c r="FQ248" s="155"/>
      <c r="FR248" s="155"/>
      <c r="FS248" s="155"/>
      <c r="FT248" s="155"/>
      <c r="FU248" s="155"/>
      <c r="FV248" s="155"/>
      <c r="FW248" s="155"/>
      <c r="FX248" s="155"/>
      <c r="FY248" s="155"/>
      <c r="FZ248" s="155"/>
      <c r="GA248" s="155"/>
      <c r="GB248" s="155"/>
      <c r="GC248" s="155"/>
      <c r="GD248" s="155"/>
      <c r="GE248" s="155"/>
      <c r="GF248" s="155"/>
      <c r="GG248" s="155"/>
      <c r="GH248" s="155"/>
      <c r="GI248" s="155"/>
      <c r="GJ248" s="155"/>
      <c r="GK248" s="155"/>
      <c r="GL248" s="155"/>
      <c r="GM248" s="155"/>
      <c r="GN248" s="155"/>
      <c r="GO248" s="155"/>
      <c r="GP248" s="155"/>
      <c r="GQ248" s="155"/>
      <c r="GR248" s="155"/>
      <c r="GS248" s="155"/>
      <c r="GT248" s="155"/>
      <c r="GU248" s="155"/>
      <c r="GV248" s="155"/>
      <c r="GW248" s="155"/>
      <c r="GX248" s="155"/>
      <c r="GY248" s="155"/>
      <c r="GZ248" s="155"/>
      <c r="HA248" s="155"/>
      <c r="HB248" s="155"/>
      <c r="HC248" s="155"/>
      <c r="HD248" s="155"/>
      <c r="HE248" s="155"/>
      <c r="HF248" s="155"/>
      <c r="HG248" s="155"/>
      <c r="HH248" s="155"/>
      <c r="HI248" s="155"/>
      <c r="HJ248" s="155"/>
      <c r="HK248" s="155"/>
      <c r="HL248" s="155"/>
      <c r="HM248" s="155"/>
      <c r="HN248" s="155"/>
      <c r="HO248" s="155"/>
      <c r="HP248" s="155"/>
      <c r="HQ248" s="155"/>
      <c r="HR248" s="155"/>
      <c r="HS248" s="155"/>
      <c r="HT248" s="155"/>
      <c r="HU248" s="155"/>
      <c r="HV248" s="155"/>
      <c r="HW248" s="155"/>
      <c r="HX248" s="155"/>
      <c r="HY248" s="155"/>
      <c r="HZ248" s="155"/>
      <c r="IA248" s="155"/>
      <c r="IB248" s="155"/>
      <c r="IC248" s="155"/>
      <c r="ID248" s="155"/>
      <c r="IE248" s="155"/>
      <c r="IF248" s="155"/>
      <c r="IG248" s="155"/>
      <c r="IH248" s="155"/>
      <c r="II248" s="155"/>
      <c r="IJ248" s="155"/>
      <c r="IK248" s="155"/>
      <c r="IL248" s="155"/>
      <c r="IM248" s="155"/>
      <c r="IN248" s="155"/>
      <c r="IO248" s="155"/>
      <c r="IP248" s="155"/>
      <c r="IQ248" s="155"/>
      <c r="IR248" s="155"/>
      <c r="IS248" s="155"/>
      <c r="IT248" s="155"/>
      <c r="IU248" s="155"/>
      <c r="IV248" s="155"/>
    </row>
    <row r="249" spans="1:256" s="156" customFormat="1" ht="15" customHeight="1">
      <c r="A249" s="241" t="s">
        <v>263</v>
      </c>
      <c r="B249" s="242"/>
      <c r="C249" s="248"/>
      <c r="D249" s="151"/>
      <c r="E249" s="228"/>
      <c r="F249" s="83"/>
      <c r="G249" s="111"/>
      <c r="H249" s="96"/>
      <c r="I249" s="96"/>
      <c r="J249" s="96"/>
      <c r="K249" s="96"/>
      <c r="L249" s="96"/>
      <c r="M249" s="96"/>
      <c r="N249" s="96"/>
      <c r="O249" s="96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  <c r="BC249" s="155"/>
      <c r="BD249" s="155"/>
      <c r="BE249" s="155"/>
      <c r="BF249" s="155"/>
      <c r="BG249" s="155"/>
      <c r="BH249" s="155"/>
      <c r="BI249" s="155"/>
      <c r="BJ249" s="155"/>
      <c r="BK249" s="155"/>
      <c r="BL249" s="155"/>
      <c r="BM249" s="155"/>
      <c r="BN249" s="155"/>
      <c r="BO249" s="155"/>
      <c r="BP249" s="155"/>
      <c r="BQ249" s="155"/>
      <c r="BR249" s="155"/>
      <c r="BS249" s="155"/>
      <c r="BT249" s="155"/>
      <c r="BU249" s="155"/>
      <c r="BV249" s="155"/>
      <c r="BW249" s="155"/>
      <c r="BX249" s="155"/>
      <c r="BY249" s="155"/>
      <c r="BZ249" s="155"/>
      <c r="CA249" s="155"/>
      <c r="CB249" s="155"/>
      <c r="CC249" s="155"/>
      <c r="CD249" s="155"/>
      <c r="CE249" s="155"/>
      <c r="CF249" s="155"/>
      <c r="CG249" s="155"/>
      <c r="CH249" s="155"/>
      <c r="CI249" s="155"/>
      <c r="CJ249" s="155"/>
      <c r="CK249" s="155"/>
      <c r="CL249" s="155"/>
      <c r="CM249" s="155"/>
      <c r="CN249" s="155"/>
      <c r="CO249" s="155"/>
      <c r="CP249" s="155"/>
      <c r="CQ249" s="155"/>
      <c r="CR249" s="155"/>
      <c r="CS249" s="155"/>
      <c r="CT249" s="155"/>
      <c r="CU249" s="155"/>
      <c r="CV249" s="155"/>
      <c r="CW249" s="155"/>
      <c r="CX249" s="155"/>
      <c r="CY249" s="155"/>
      <c r="CZ249" s="155"/>
      <c r="DA249" s="155"/>
      <c r="DB249" s="155"/>
      <c r="DC249" s="155"/>
      <c r="DD249" s="155"/>
      <c r="DE249" s="155"/>
      <c r="DF249" s="155"/>
      <c r="DG249" s="155"/>
      <c r="DH249" s="155"/>
      <c r="DI249" s="155"/>
      <c r="DJ249" s="155"/>
      <c r="DK249" s="155"/>
      <c r="DL249" s="155"/>
      <c r="DM249" s="155"/>
      <c r="DN249" s="155"/>
      <c r="DO249" s="155"/>
      <c r="DP249" s="155"/>
      <c r="DQ249" s="155"/>
      <c r="DR249" s="155"/>
      <c r="DS249" s="155"/>
      <c r="DT249" s="155"/>
      <c r="DU249" s="155"/>
      <c r="DV249" s="155"/>
      <c r="DW249" s="155"/>
      <c r="DX249" s="155"/>
      <c r="DY249" s="155"/>
      <c r="DZ249" s="155"/>
      <c r="EA249" s="155"/>
      <c r="EB249" s="155"/>
      <c r="EC249" s="155"/>
      <c r="ED249" s="155"/>
      <c r="EE249" s="155"/>
      <c r="EF249" s="155"/>
      <c r="EG249" s="155"/>
      <c r="EH249" s="155"/>
      <c r="EI249" s="155"/>
      <c r="EJ249" s="155"/>
      <c r="EK249" s="155"/>
      <c r="EL249" s="155"/>
      <c r="EM249" s="155"/>
      <c r="EN249" s="155"/>
      <c r="EO249" s="155"/>
      <c r="EP249" s="155"/>
      <c r="EQ249" s="155"/>
      <c r="ER249" s="155"/>
      <c r="ES249" s="155"/>
      <c r="ET249" s="155"/>
      <c r="EU249" s="155"/>
      <c r="EV249" s="155"/>
      <c r="EW249" s="155"/>
      <c r="EX249" s="155"/>
      <c r="EY249" s="155"/>
      <c r="EZ249" s="155"/>
      <c r="FA249" s="155"/>
      <c r="FB249" s="155"/>
      <c r="FC249" s="155"/>
      <c r="FD249" s="155"/>
      <c r="FE249" s="155"/>
      <c r="FF249" s="155"/>
      <c r="FG249" s="155"/>
      <c r="FH249" s="155"/>
      <c r="FI249" s="155"/>
      <c r="FJ249" s="155"/>
      <c r="FK249" s="155"/>
      <c r="FL249" s="155"/>
      <c r="FM249" s="155"/>
      <c r="FN249" s="155"/>
      <c r="FO249" s="155"/>
      <c r="FP249" s="155"/>
      <c r="FQ249" s="155"/>
      <c r="FR249" s="155"/>
      <c r="FS249" s="155"/>
      <c r="FT249" s="155"/>
      <c r="FU249" s="155"/>
      <c r="FV249" s="155"/>
      <c r="FW249" s="155"/>
      <c r="FX249" s="155"/>
      <c r="FY249" s="155"/>
      <c r="FZ249" s="155"/>
      <c r="GA249" s="155"/>
      <c r="GB249" s="155"/>
      <c r="GC249" s="155"/>
      <c r="GD249" s="155"/>
      <c r="GE249" s="155"/>
      <c r="GF249" s="155"/>
      <c r="GG249" s="155"/>
      <c r="GH249" s="155"/>
      <c r="GI249" s="155"/>
      <c r="GJ249" s="155"/>
      <c r="GK249" s="155"/>
      <c r="GL249" s="155"/>
      <c r="GM249" s="155"/>
      <c r="GN249" s="155"/>
      <c r="GO249" s="155"/>
      <c r="GP249" s="155"/>
      <c r="GQ249" s="155"/>
      <c r="GR249" s="155"/>
      <c r="GS249" s="155"/>
      <c r="GT249" s="155"/>
      <c r="GU249" s="155"/>
      <c r="GV249" s="155"/>
      <c r="GW249" s="155"/>
      <c r="GX249" s="155"/>
      <c r="GY249" s="155"/>
      <c r="GZ249" s="155"/>
      <c r="HA249" s="155"/>
      <c r="HB249" s="155"/>
      <c r="HC249" s="155"/>
      <c r="HD249" s="155"/>
      <c r="HE249" s="155"/>
      <c r="HF249" s="155"/>
      <c r="HG249" s="155"/>
      <c r="HH249" s="155"/>
      <c r="HI249" s="155"/>
      <c r="HJ249" s="155"/>
      <c r="HK249" s="155"/>
      <c r="HL249" s="155"/>
      <c r="HM249" s="155"/>
      <c r="HN249" s="155"/>
      <c r="HO249" s="155"/>
      <c r="HP249" s="155"/>
      <c r="HQ249" s="155"/>
      <c r="HR249" s="155"/>
      <c r="HS249" s="155"/>
      <c r="HT249" s="155"/>
      <c r="HU249" s="155"/>
      <c r="HV249" s="155"/>
      <c r="HW249" s="155"/>
      <c r="HX249" s="155"/>
      <c r="HY249" s="155"/>
      <c r="HZ249" s="155"/>
      <c r="IA249" s="155"/>
      <c r="IB249" s="155"/>
      <c r="IC249" s="155"/>
      <c r="ID249" s="155"/>
      <c r="IE249" s="155"/>
      <c r="IF249" s="155"/>
      <c r="IG249" s="155"/>
      <c r="IH249" s="155"/>
      <c r="II249" s="155"/>
      <c r="IJ249" s="155"/>
      <c r="IK249" s="155"/>
      <c r="IL249" s="155"/>
      <c r="IM249" s="155"/>
      <c r="IN249" s="155"/>
      <c r="IO249" s="155"/>
      <c r="IP249" s="155"/>
      <c r="IQ249" s="155"/>
      <c r="IR249" s="155"/>
      <c r="IS249" s="155"/>
      <c r="IT249" s="155"/>
      <c r="IU249" s="155"/>
      <c r="IV249" s="155"/>
    </row>
    <row r="250" spans="1:256" s="156" customFormat="1" ht="15" customHeight="1">
      <c r="A250" s="59"/>
      <c r="B250" s="59"/>
      <c r="C250" s="49" t="s">
        <v>91</v>
      </c>
      <c r="D250" s="49" t="s">
        <v>92</v>
      </c>
      <c r="E250" s="49" t="s">
        <v>94</v>
      </c>
      <c r="F250" s="83"/>
      <c r="G250" s="111"/>
      <c r="H250" s="96"/>
      <c r="I250" s="96"/>
      <c r="J250" s="96"/>
      <c r="K250" s="96"/>
      <c r="L250" s="96"/>
      <c r="M250" s="96"/>
      <c r="N250" s="96"/>
      <c r="O250" s="96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5"/>
      <c r="BC250" s="155"/>
      <c r="BD250" s="155"/>
      <c r="BE250" s="155"/>
      <c r="BF250" s="155"/>
      <c r="BG250" s="155"/>
      <c r="BH250" s="155"/>
      <c r="BI250" s="155"/>
      <c r="BJ250" s="155"/>
      <c r="BK250" s="155"/>
      <c r="BL250" s="155"/>
      <c r="BM250" s="155"/>
      <c r="BN250" s="155"/>
      <c r="BO250" s="155"/>
      <c r="BP250" s="155"/>
      <c r="BQ250" s="155"/>
      <c r="BR250" s="155"/>
      <c r="BS250" s="155"/>
      <c r="BT250" s="155"/>
      <c r="BU250" s="155"/>
      <c r="BV250" s="155"/>
      <c r="BW250" s="155"/>
      <c r="BX250" s="155"/>
      <c r="BY250" s="155"/>
      <c r="BZ250" s="155"/>
      <c r="CA250" s="155"/>
      <c r="CB250" s="155"/>
      <c r="CC250" s="155"/>
      <c r="CD250" s="155"/>
      <c r="CE250" s="155"/>
      <c r="CF250" s="155"/>
      <c r="CG250" s="155"/>
      <c r="CH250" s="155"/>
      <c r="CI250" s="155"/>
      <c r="CJ250" s="155"/>
      <c r="CK250" s="155"/>
      <c r="CL250" s="155"/>
      <c r="CM250" s="155"/>
      <c r="CN250" s="155"/>
      <c r="CO250" s="155"/>
      <c r="CP250" s="155"/>
      <c r="CQ250" s="155"/>
      <c r="CR250" s="155"/>
      <c r="CS250" s="155"/>
      <c r="CT250" s="155"/>
      <c r="CU250" s="155"/>
      <c r="CV250" s="155"/>
      <c r="CW250" s="155"/>
      <c r="CX250" s="155"/>
      <c r="CY250" s="155"/>
      <c r="CZ250" s="155"/>
      <c r="DA250" s="155"/>
      <c r="DB250" s="155"/>
      <c r="DC250" s="155"/>
      <c r="DD250" s="155"/>
      <c r="DE250" s="155"/>
      <c r="DF250" s="155"/>
      <c r="DG250" s="155"/>
      <c r="DH250" s="155"/>
      <c r="DI250" s="155"/>
      <c r="DJ250" s="155"/>
      <c r="DK250" s="155"/>
      <c r="DL250" s="155"/>
      <c r="DM250" s="155"/>
      <c r="DN250" s="155"/>
      <c r="DO250" s="155"/>
      <c r="DP250" s="155"/>
      <c r="DQ250" s="155"/>
      <c r="DR250" s="155"/>
      <c r="DS250" s="155"/>
      <c r="DT250" s="155"/>
      <c r="DU250" s="155"/>
      <c r="DV250" s="155"/>
      <c r="DW250" s="155"/>
      <c r="DX250" s="155"/>
      <c r="DY250" s="155"/>
      <c r="DZ250" s="155"/>
      <c r="EA250" s="155"/>
      <c r="EB250" s="155"/>
      <c r="EC250" s="155"/>
      <c r="ED250" s="155"/>
      <c r="EE250" s="155"/>
      <c r="EF250" s="155"/>
      <c r="EG250" s="155"/>
      <c r="EH250" s="155"/>
      <c r="EI250" s="155"/>
      <c r="EJ250" s="155"/>
      <c r="EK250" s="155"/>
      <c r="EL250" s="155"/>
      <c r="EM250" s="155"/>
      <c r="EN250" s="155"/>
      <c r="EO250" s="155"/>
      <c r="EP250" s="155"/>
      <c r="EQ250" s="155"/>
      <c r="ER250" s="155"/>
      <c r="ES250" s="155"/>
      <c r="ET250" s="155"/>
      <c r="EU250" s="155"/>
      <c r="EV250" s="155"/>
      <c r="EW250" s="155"/>
      <c r="EX250" s="155"/>
      <c r="EY250" s="155"/>
      <c r="EZ250" s="155"/>
      <c r="FA250" s="155"/>
      <c r="FB250" s="155"/>
      <c r="FC250" s="155"/>
      <c r="FD250" s="155"/>
      <c r="FE250" s="155"/>
      <c r="FF250" s="155"/>
      <c r="FG250" s="155"/>
      <c r="FH250" s="155"/>
      <c r="FI250" s="155"/>
      <c r="FJ250" s="155"/>
      <c r="FK250" s="155"/>
      <c r="FL250" s="155"/>
      <c r="FM250" s="155"/>
      <c r="FN250" s="155"/>
      <c r="FO250" s="155"/>
      <c r="FP250" s="155"/>
      <c r="FQ250" s="155"/>
      <c r="FR250" s="155"/>
      <c r="FS250" s="155"/>
      <c r="FT250" s="155"/>
      <c r="FU250" s="155"/>
      <c r="FV250" s="155"/>
      <c r="FW250" s="155"/>
      <c r="FX250" s="155"/>
      <c r="FY250" s="155"/>
      <c r="FZ250" s="155"/>
      <c r="GA250" s="155"/>
      <c r="GB250" s="155"/>
      <c r="GC250" s="155"/>
      <c r="GD250" s="155"/>
      <c r="GE250" s="155"/>
      <c r="GF250" s="155"/>
      <c r="GG250" s="155"/>
      <c r="GH250" s="155"/>
      <c r="GI250" s="155"/>
      <c r="GJ250" s="155"/>
      <c r="GK250" s="155"/>
      <c r="GL250" s="155"/>
      <c r="GM250" s="155"/>
      <c r="GN250" s="155"/>
      <c r="GO250" s="155"/>
      <c r="GP250" s="155"/>
      <c r="GQ250" s="155"/>
      <c r="GR250" s="155"/>
      <c r="GS250" s="155"/>
      <c r="GT250" s="155"/>
      <c r="GU250" s="155"/>
      <c r="GV250" s="155"/>
      <c r="GW250" s="155"/>
      <c r="GX250" s="155"/>
      <c r="GY250" s="155"/>
      <c r="GZ250" s="155"/>
      <c r="HA250" s="155"/>
      <c r="HB250" s="155"/>
      <c r="HC250" s="155"/>
      <c r="HD250" s="155"/>
      <c r="HE250" s="155"/>
      <c r="HF250" s="155"/>
      <c r="HG250" s="155"/>
      <c r="HH250" s="155"/>
      <c r="HI250" s="155"/>
      <c r="HJ250" s="155"/>
      <c r="HK250" s="155"/>
      <c r="HL250" s="155"/>
      <c r="HM250" s="155"/>
      <c r="HN250" s="155"/>
      <c r="HO250" s="155"/>
      <c r="HP250" s="155"/>
      <c r="HQ250" s="155"/>
      <c r="HR250" s="155"/>
      <c r="HS250" s="155"/>
      <c r="HT250" s="155"/>
      <c r="HU250" s="155"/>
      <c r="HV250" s="155"/>
      <c r="HW250" s="155"/>
      <c r="HX250" s="155"/>
      <c r="HY250" s="155"/>
      <c r="HZ250" s="155"/>
      <c r="IA250" s="155"/>
      <c r="IB250" s="155"/>
      <c r="IC250" s="155"/>
      <c r="ID250" s="155"/>
      <c r="IE250" s="155"/>
      <c r="IF250" s="155"/>
      <c r="IG250" s="155"/>
      <c r="IH250" s="155"/>
      <c r="II250" s="155"/>
      <c r="IJ250" s="155"/>
      <c r="IK250" s="155"/>
      <c r="IL250" s="155"/>
      <c r="IM250" s="155"/>
      <c r="IN250" s="155"/>
      <c r="IO250" s="155"/>
      <c r="IP250" s="155"/>
      <c r="IQ250" s="155"/>
      <c r="IR250" s="155"/>
      <c r="IS250" s="155"/>
      <c r="IT250" s="155"/>
      <c r="IU250" s="155"/>
      <c r="IV250" s="155"/>
    </row>
    <row r="251" spans="1:256" s="156" customFormat="1" ht="15" customHeight="1">
      <c r="A251" s="60"/>
      <c r="B251" s="60"/>
      <c r="C251" s="52" t="s">
        <v>90</v>
      </c>
      <c r="D251" s="52" t="s">
        <v>93</v>
      </c>
      <c r="E251" s="52" t="s">
        <v>261</v>
      </c>
      <c r="F251" s="83"/>
      <c r="G251" s="111"/>
      <c r="H251" s="96"/>
      <c r="I251" s="96"/>
      <c r="J251" s="96"/>
      <c r="K251" s="96"/>
      <c r="L251" s="96"/>
      <c r="M251" s="96"/>
      <c r="N251" s="96"/>
      <c r="O251" s="96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  <c r="AV251" s="155"/>
      <c r="AW251" s="155"/>
      <c r="AX251" s="155"/>
      <c r="AY251" s="155"/>
      <c r="AZ251" s="155"/>
      <c r="BA251" s="155"/>
      <c r="BB251" s="155"/>
      <c r="BC251" s="155"/>
      <c r="BD251" s="155"/>
      <c r="BE251" s="155"/>
      <c r="BF251" s="155"/>
      <c r="BG251" s="155"/>
      <c r="BH251" s="155"/>
      <c r="BI251" s="155"/>
      <c r="BJ251" s="155"/>
      <c r="BK251" s="155"/>
      <c r="BL251" s="155"/>
      <c r="BM251" s="155"/>
      <c r="BN251" s="155"/>
      <c r="BO251" s="155"/>
      <c r="BP251" s="155"/>
      <c r="BQ251" s="155"/>
      <c r="BR251" s="155"/>
      <c r="BS251" s="155"/>
      <c r="BT251" s="155"/>
      <c r="BU251" s="155"/>
      <c r="BV251" s="155"/>
      <c r="BW251" s="155"/>
      <c r="BX251" s="155"/>
      <c r="BY251" s="155"/>
      <c r="BZ251" s="155"/>
      <c r="CA251" s="155"/>
      <c r="CB251" s="155"/>
      <c r="CC251" s="155"/>
      <c r="CD251" s="155"/>
      <c r="CE251" s="155"/>
      <c r="CF251" s="155"/>
      <c r="CG251" s="155"/>
      <c r="CH251" s="155"/>
      <c r="CI251" s="155"/>
      <c r="CJ251" s="155"/>
      <c r="CK251" s="155"/>
      <c r="CL251" s="155"/>
      <c r="CM251" s="155"/>
      <c r="CN251" s="155"/>
      <c r="CO251" s="155"/>
      <c r="CP251" s="155"/>
      <c r="CQ251" s="155"/>
      <c r="CR251" s="155"/>
      <c r="CS251" s="155"/>
      <c r="CT251" s="155"/>
      <c r="CU251" s="155"/>
      <c r="CV251" s="155"/>
      <c r="CW251" s="155"/>
      <c r="CX251" s="155"/>
      <c r="CY251" s="155"/>
      <c r="CZ251" s="155"/>
      <c r="DA251" s="155"/>
      <c r="DB251" s="155"/>
      <c r="DC251" s="155"/>
      <c r="DD251" s="155"/>
      <c r="DE251" s="155"/>
      <c r="DF251" s="155"/>
      <c r="DG251" s="155"/>
      <c r="DH251" s="155"/>
      <c r="DI251" s="155"/>
      <c r="DJ251" s="155"/>
      <c r="DK251" s="155"/>
      <c r="DL251" s="155"/>
      <c r="DM251" s="155"/>
      <c r="DN251" s="155"/>
      <c r="DO251" s="155"/>
      <c r="DP251" s="155"/>
      <c r="DQ251" s="155"/>
      <c r="DR251" s="155"/>
      <c r="DS251" s="155"/>
      <c r="DT251" s="155"/>
      <c r="DU251" s="155"/>
      <c r="DV251" s="155"/>
      <c r="DW251" s="155"/>
      <c r="DX251" s="155"/>
      <c r="DY251" s="155"/>
      <c r="DZ251" s="155"/>
      <c r="EA251" s="155"/>
      <c r="EB251" s="155"/>
      <c r="EC251" s="155"/>
      <c r="ED251" s="155"/>
      <c r="EE251" s="155"/>
      <c r="EF251" s="155"/>
      <c r="EG251" s="155"/>
      <c r="EH251" s="155"/>
      <c r="EI251" s="155"/>
      <c r="EJ251" s="155"/>
      <c r="EK251" s="155"/>
      <c r="EL251" s="155"/>
      <c r="EM251" s="155"/>
      <c r="EN251" s="155"/>
      <c r="EO251" s="155"/>
      <c r="EP251" s="155"/>
      <c r="EQ251" s="155"/>
      <c r="ER251" s="155"/>
      <c r="ES251" s="155"/>
      <c r="ET251" s="155"/>
      <c r="EU251" s="155"/>
      <c r="EV251" s="155"/>
      <c r="EW251" s="155"/>
      <c r="EX251" s="155"/>
      <c r="EY251" s="155"/>
      <c r="EZ251" s="155"/>
      <c r="FA251" s="155"/>
      <c r="FB251" s="155"/>
      <c r="FC251" s="155"/>
      <c r="FD251" s="155"/>
      <c r="FE251" s="155"/>
      <c r="FF251" s="155"/>
      <c r="FG251" s="155"/>
      <c r="FH251" s="155"/>
      <c r="FI251" s="155"/>
      <c r="FJ251" s="155"/>
      <c r="FK251" s="155"/>
      <c r="FL251" s="155"/>
      <c r="FM251" s="155"/>
      <c r="FN251" s="155"/>
      <c r="FO251" s="155"/>
      <c r="FP251" s="155"/>
      <c r="FQ251" s="155"/>
      <c r="FR251" s="155"/>
      <c r="FS251" s="155"/>
      <c r="FT251" s="155"/>
      <c r="FU251" s="155"/>
      <c r="FV251" s="155"/>
      <c r="FW251" s="155"/>
      <c r="FX251" s="155"/>
      <c r="FY251" s="155"/>
      <c r="FZ251" s="155"/>
      <c r="GA251" s="155"/>
      <c r="GB251" s="155"/>
      <c r="GC251" s="155"/>
      <c r="GD251" s="155"/>
      <c r="GE251" s="155"/>
      <c r="GF251" s="155"/>
      <c r="GG251" s="155"/>
      <c r="GH251" s="155"/>
      <c r="GI251" s="155"/>
      <c r="GJ251" s="155"/>
      <c r="GK251" s="155"/>
      <c r="GL251" s="155"/>
      <c r="GM251" s="155"/>
      <c r="GN251" s="155"/>
      <c r="GO251" s="155"/>
      <c r="GP251" s="155"/>
      <c r="GQ251" s="155"/>
      <c r="GR251" s="155"/>
      <c r="GS251" s="155"/>
      <c r="GT251" s="155"/>
      <c r="GU251" s="155"/>
      <c r="GV251" s="155"/>
      <c r="GW251" s="155"/>
      <c r="GX251" s="155"/>
      <c r="GY251" s="155"/>
      <c r="GZ251" s="155"/>
      <c r="HA251" s="155"/>
      <c r="HB251" s="155"/>
      <c r="HC251" s="155"/>
      <c r="HD251" s="155"/>
      <c r="HE251" s="155"/>
      <c r="HF251" s="155"/>
      <c r="HG251" s="155"/>
      <c r="HH251" s="155"/>
      <c r="HI251" s="155"/>
      <c r="HJ251" s="155"/>
      <c r="HK251" s="155"/>
      <c r="HL251" s="155"/>
      <c r="HM251" s="155"/>
      <c r="HN251" s="155"/>
      <c r="HO251" s="155"/>
      <c r="HP251" s="155"/>
      <c r="HQ251" s="155"/>
      <c r="HR251" s="155"/>
      <c r="HS251" s="155"/>
      <c r="HT251" s="155"/>
      <c r="HU251" s="155"/>
      <c r="HV251" s="155"/>
      <c r="HW251" s="155"/>
      <c r="HX251" s="155"/>
      <c r="HY251" s="155"/>
      <c r="HZ251" s="155"/>
      <c r="IA251" s="155"/>
      <c r="IB251" s="155"/>
      <c r="IC251" s="155"/>
      <c r="ID251" s="155"/>
      <c r="IE251" s="155"/>
      <c r="IF251" s="155"/>
      <c r="IG251" s="155"/>
      <c r="IH251" s="155"/>
      <c r="II251" s="155"/>
      <c r="IJ251" s="155"/>
      <c r="IK251" s="155"/>
      <c r="IL251" s="155"/>
      <c r="IM251" s="155"/>
      <c r="IN251" s="155"/>
      <c r="IO251" s="155"/>
      <c r="IP251" s="155"/>
      <c r="IQ251" s="155"/>
      <c r="IR251" s="155"/>
      <c r="IS251" s="155"/>
      <c r="IT251" s="155"/>
      <c r="IU251" s="155"/>
      <c r="IV251" s="155"/>
    </row>
    <row r="252" spans="1:256" s="156" customFormat="1" ht="15" customHeight="1" thickBot="1">
      <c r="A252" s="49" t="s">
        <v>28</v>
      </c>
      <c r="B252" s="49" t="s">
        <v>24</v>
      </c>
      <c r="C252" s="49" t="s">
        <v>25</v>
      </c>
      <c r="D252" s="49" t="s">
        <v>26</v>
      </c>
      <c r="E252" s="49" t="s">
        <v>27</v>
      </c>
      <c r="F252" s="83"/>
      <c r="G252" s="111"/>
      <c r="H252" s="96"/>
      <c r="I252" s="96"/>
      <c r="J252" s="96"/>
      <c r="K252" s="96"/>
      <c r="L252" s="96"/>
      <c r="M252" s="96"/>
      <c r="N252" s="96"/>
      <c r="O252" s="96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  <c r="AV252" s="155"/>
      <c r="AW252" s="155"/>
      <c r="AX252" s="155"/>
      <c r="AY252" s="155"/>
      <c r="AZ252" s="155"/>
      <c r="BA252" s="155"/>
      <c r="BB252" s="155"/>
      <c r="BC252" s="155"/>
      <c r="BD252" s="155"/>
      <c r="BE252" s="155"/>
      <c r="BF252" s="155"/>
      <c r="BG252" s="155"/>
      <c r="BH252" s="155"/>
      <c r="BI252" s="155"/>
      <c r="BJ252" s="155"/>
      <c r="BK252" s="155"/>
      <c r="BL252" s="155"/>
      <c r="BM252" s="155"/>
      <c r="BN252" s="155"/>
      <c r="BO252" s="155"/>
      <c r="BP252" s="155"/>
      <c r="BQ252" s="155"/>
      <c r="BR252" s="155"/>
      <c r="BS252" s="155"/>
      <c r="BT252" s="155"/>
      <c r="BU252" s="155"/>
      <c r="BV252" s="155"/>
      <c r="BW252" s="155"/>
      <c r="BX252" s="155"/>
      <c r="BY252" s="155"/>
      <c r="BZ252" s="155"/>
      <c r="CA252" s="155"/>
      <c r="CB252" s="155"/>
      <c r="CC252" s="155"/>
      <c r="CD252" s="155"/>
      <c r="CE252" s="155"/>
      <c r="CF252" s="155"/>
      <c r="CG252" s="155"/>
      <c r="CH252" s="155"/>
      <c r="CI252" s="155"/>
      <c r="CJ252" s="155"/>
      <c r="CK252" s="155"/>
      <c r="CL252" s="155"/>
      <c r="CM252" s="155"/>
      <c r="CN252" s="155"/>
      <c r="CO252" s="155"/>
      <c r="CP252" s="155"/>
      <c r="CQ252" s="155"/>
      <c r="CR252" s="155"/>
      <c r="CS252" s="155"/>
      <c r="CT252" s="155"/>
      <c r="CU252" s="155"/>
      <c r="CV252" s="155"/>
      <c r="CW252" s="155"/>
      <c r="CX252" s="155"/>
      <c r="CY252" s="155"/>
      <c r="CZ252" s="155"/>
      <c r="DA252" s="155"/>
      <c r="DB252" s="155"/>
      <c r="DC252" s="155"/>
      <c r="DD252" s="155"/>
      <c r="DE252" s="155"/>
      <c r="DF252" s="155"/>
      <c r="DG252" s="155"/>
      <c r="DH252" s="155"/>
      <c r="DI252" s="155"/>
      <c r="DJ252" s="155"/>
      <c r="DK252" s="155"/>
      <c r="DL252" s="155"/>
      <c r="DM252" s="155"/>
      <c r="DN252" s="155"/>
      <c r="DO252" s="155"/>
      <c r="DP252" s="155"/>
      <c r="DQ252" s="155"/>
      <c r="DR252" s="155"/>
      <c r="DS252" s="155"/>
      <c r="DT252" s="155"/>
      <c r="DU252" s="155"/>
      <c r="DV252" s="155"/>
      <c r="DW252" s="155"/>
      <c r="DX252" s="155"/>
      <c r="DY252" s="155"/>
      <c r="DZ252" s="155"/>
      <c r="EA252" s="155"/>
      <c r="EB252" s="155"/>
      <c r="EC252" s="155"/>
      <c r="ED252" s="155"/>
      <c r="EE252" s="155"/>
      <c r="EF252" s="155"/>
      <c r="EG252" s="155"/>
      <c r="EH252" s="155"/>
      <c r="EI252" s="155"/>
      <c r="EJ252" s="155"/>
      <c r="EK252" s="155"/>
      <c r="EL252" s="155"/>
      <c r="EM252" s="155"/>
      <c r="EN252" s="155"/>
      <c r="EO252" s="155"/>
      <c r="EP252" s="155"/>
      <c r="EQ252" s="155"/>
      <c r="ER252" s="155"/>
      <c r="ES252" s="155"/>
      <c r="ET252" s="155"/>
      <c r="EU252" s="155"/>
      <c r="EV252" s="155"/>
      <c r="EW252" s="155"/>
      <c r="EX252" s="155"/>
      <c r="EY252" s="155"/>
      <c r="EZ252" s="155"/>
      <c r="FA252" s="155"/>
      <c r="FB252" s="155"/>
      <c r="FC252" s="155"/>
      <c r="FD252" s="155"/>
      <c r="FE252" s="155"/>
      <c r="FF252" s="155"/>
      <c r="FG252" s="155"/>
      <c r="FH252" s="155"/>
      <c r="FI252" s="155"/>
      <c r="FJ252" s="155"/>
      <c r="FK252" s="155"/>
      <c r="FL252" s="155"/>
      <c r="FM252" s="155"/>
      <c r="FN252" s="155"/>
      <c r="FO252" s="155"/>
      <c r="FP252" s="155"/>
      <c r="FQ252" s="155"/>
      <c r="FR252" s="155"/>
      <c r="FS252" s="155"/>
      <c r="FT252" s="155"/>
      <c r="FU252" s="155"/>
      <c r="FV252" s="155"/>
      <c r="FW252" s="155"/>
      <c r="FX252" s="155"/>
      <c r="FY252" s="155"/>
      <c r="FZ252" s="155"/>
      <c r="GA252" s="155"/>
      <c r="GB252" s="155"/>
      <c r="GC252" s="155"/>
      <c r="GD252" s="155"/>
      <c r="GE252" s="155"/>
      <c r="GF252" s="155"/>
      <c r="GG252" s="155"/>
      <c r="GH252" s="155"/>
      <c r="GI252" s="155"/>
      <c r="GJ252" s="155"/>
      <c r="GK252" s="155"/>
      <c r="GL252" s="155"/>
      <c r="GM252" s="155"/>
      <c r="GN252" s="155"/>
      <c r="GO252" s="155"/>
      <c r="GP252" s="155"/>
      <c r="GQ252" s="155"/>
      <c r="GR252" s="155"/>
      <c r="GS252" s="155"/>
      <c r="GT252" s="155"/>
      <c r="GU252" s="155"/>
      <c r="GV252" s="155"/>
      <c r="GW252" s="155"/>
      <c r="GX252" s="155"/>
      <c r="GY252" s="155"/>
      <c r="GZ252" s="155"/>
      <c r="HA252" s="155"/>
      <c r="HB252" s="155"/>
      <c r="HC252" s="155"/>
      <c r="HD252" s="155"/>
      <c r="HE252" s="155"/>
      <c r="HF252" s="155"/>
      <c r="HG252" s="155"/>
      <c r="HH252" s="155"/>
      <c r="HI252" s="155"/>
      <c r="HJ252" s="155"/>
      <c r="HK252" s="155"/>
      <c r="HL252" s="155"/>
      <c r="HM252" s="155"/>
      <c r="HN252" s="155"/>
      <c r="HO252" s="155"/>
      <c r="HP252" s="155"/>
      <c r="HQ252" s="155"/>
      <c r="HR252" s="155"/>
      <c r="HS252" s="155"/>
      <c r="HT252" s="155"/>
      <c r="HU252" s="155"/>
      <c r="HV252" s="155"/>
      <c r="HW252" s="155"/>
      <c r="HX252" s="155"/>
      <c r="HY252" s="155"/>
      <c r="HZ252" s="155"/>
      <c r="IA252" s="155"/>
      <c r="IB252" s="155"/>
      <c r="IC252" s="155"/>
      <c r="ID252" s="155"/>
      <c r="IE252" s="155"/>
      <c r="IF252" s="155"/>
      <c r="IG252" s="155"/>
      <c r="IH252" s="155"/>
      <c r="II252" s="155"/>
      <c r="IJ252" s="155"/>
      <c r="IK252" s="155"/>
      <c r="IL252" s="155"/>
      <c r="IM252" s="155"/>
      <c r="IN252" s="155"/>
      <c r="IO252" s="155"/>
      <c r="IP252" s="155"/>
      <c r="IQ252" s="155"/>
      <c r="IR252" s="155"/>
      <c r="IS252" s="155"/>
      <c r="IT252" s="155"/>
      <c r="IU252" s="155"/>
      <c r="IV252" s="155"/>
    </row>
    <row r="253" spans="1:256" s="156" customFormat="1" ht="15" customHeight="1" thickTop="1" thickBot="1">
      <c r="A253" s="24">
        <v>1</v>
      </c>
      <c r="B253" s="26">
        <f>A253*0.986923</f>
        <v>0.98692299999999999</v>
      </c>
      <c r="C253" s="26">
        <f>A253*10.1979</f>
        <v>10.197900000000001</v>
      </c>
      <c r="D253" s="30">
        <f>A253*750.061</f>
        <v>750.06100000000004</v>
      </c>
      <c r="E253" s="9">
        <f>A253*14.50377</f>
        <v>14.503769999999999</v>
      </c>
      <c r="F253" s="83"/>
      <c r="G253" s="111"/>
      <c r="H253" s="96"/>
      <c r="I253" s="96"/>
      <c r="J253" s="96"/>
      <c r="K253" s="96"/>
      <c r="L253" s="96"/>
      <c r="M253" s="96"/>
      <c r="N253" s="96"/>
      <c r="O253" s="96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55"/>
      <c r="AM253" s="155"/>
      <c r="AN253" s="155"/>
      <c r="AO253" s="155"/>
      <c r="AP253" s="155"/>
      <c r="AQ253" s="155"/>
      <c r="AR253" s="155"/>
      <c r="AS253" s="155"/>
      <c r="AT253" s="155"/>
      <c r="AU253" s="155"/>
      <c r="AV253" s="155"/>
      <c r="AW253" s="155"/>
      <c r="AX253" s="155"/>
      <c r="AY253" s="155"/>
      <c r="AZ253" s="155"/>
      <c r="BA253" s="155"/>
      <c r="BB253" s="155"/>
      <c r="BC253" s="155"/>
      <c r="BD253" s="155"/>
      <c r="BE253" s="155"/>
      <c r="BF253" s="155"/>
      <c r="BG253" s="155"/>
      <c r="BH253" s="155"/>
      <c r="BI253" s="155"/>
      <c r="BJ253" s="155"/>
      <c r="BK253" s="155"/>
      <c r="BL253" s="155"/>
      <c r="BM253" s="155"/>
      <c r="BN253" s="155"/>
      <c r="BO253" s="155"/>
      <c r="BP253" s="155"/>
      <c r="BQ253" s="155"/>
      <c r="BR253" s="155"/>
      <c r="BS253" s="155"/>
      <c r="BT253" s="155"/>
      <c r="BU253" s="155"/>
      <c r="BV253" s="155"/>
      <c r="BW253" s="155"/>
      <c r="BX253" s="155"/>
      <c r="BY253" s="155"/>
      <c r="BZ253" s="155"/>
      <c r="CA253" s="155"/>
      <c r="CB253" s="155"/>
      <c r="CC253" s="155"/>
      <c r="CD253" s="155"/>
      <c r="CE253" s="155"/>
      <c r="CF253" s="155"/>
      <c r="CG253" s="155"/>
      <c r="CH253" s="155"/>
      <c r="CI253" s="155"/>
      <c r="CJ253" s="155"/>
      <c r="CK253" s="155"/>
      <c r="CL253" s="155"/>
      <c r="CM253" s="155"/>
      <c r="CN253" s="155"/>
      <c r="CO253" s="155"/>
      <c r="CP253" s="155"/>
      <c r="CQ253" s="155"/>
      <c r="CR253" s="155"/>
      <c r="CS253" s="155"/>
      <c r="CT253" s="155"/>
      <c r="CU253" s="155"/>
      <c r="CV253" s="155"/>
      <c r="CW253" s="155"/>
      <c r="CX253" s="155"/>
      <c r="CY253" s="155"/>
      <c r="CZ253" s="155"/>
      <c r="DA253" s="155"/>
      <c r="DB253" s="155"/>
      <c r="DC253" s="155"/>
      <c r="DD253" s="155"/>
      <c r="DE253" s="155"/>
      <c r="DF253" s="155"/>
      <c r="DG253" s="155"/>
      <c r="DH253" s="155"/>
      <c r="DI253" s="155"/>
      <c r="DJ253" s="155"/>
      <c r="DK253" s="155"/>
      <c r="DL253" s="155"/>
      <c r="DM253" s="155"/>
      <c r="DN253" s="155"/>
      <c r="DO253" s="155"/>
      <c r="DP253" s="155"/>
      <c r="DQ253" s="155"/>
      <c r="DR253" s="155"/>
      <c r="DS253" s="155"/>
      <c r="DT253" s="155"/>
      <c r="DU253" s="155"/>
      <c r="DV253" s="155"/>
      <c r="DW253" s="155"/>
      <c r="DX253" s="155"/>
      <c r="DY253" s="155"/>
      <c r="DZ253" s="155"/>
      <c r="EA253" s="155"/>
      <c r="EB253" s="155"/>
      <c r="EC253" s="155"/>
      <c r="ED253" s="155"/>
      <c r="EE253" s="155"/>
      <c r="EF253" s="155"/>
      <c r="EG253" s="155"/>
      <c r="EH253" s="155"/>
      <c r="EI253" s="155"/>
      <c r="EJ253" s="155"/>
      <c r="EK253" s="155"/>
      <c r="EL253" s="155"/>
      <c r="EM253" s="155"/>
      <c r="EN253" s="155"/>
      <c r="EO253" s="155"/>
      <c r="EP253" s="155"/>
      <c r="EQ253" s="155"/>
      <c r="ER253" s="155"/>
      <c r="ES253" s="155"/>
      <c r="ET253" s="155"/>
      <c r="EU253" s="155"/>
      <c r="EV253" s="155"/>
      <c r="EW253" s="155"/>
      <c r="EX253" s="155"/>
      <c r="EY253" s="155"/>
      <c r="EZ253" s="155"/>
      <c r="FA253" s="155"/>
      <c r="FB253" s="155"/>
      <c r="FC253" s="155"/>
      <c r="FD253" s="155"/>
      <c r="FE253" s="155"/>
      <c r="FF253" s="155"/>
      <c r="FG253" s="155"/>
      <c r="FH253" s="155"/>
      <c r="FI253" s="155"/>
      <c r="FJ253" s="155"/>
      <c r="FK253" s="155"/>
      <c r="FL253" s="155"/>
      <c r="FM253" s="155"/>
      <c r="FN253" s="155"/>
      <c r="FO253" s="155"/>
      <c r="FP253" s="155"/>
      <c r="FQ253" s="155"/>
      <c r="FR253" s="155"/>
      <c r="FS253" s="155"/>
      <c r="FT253" s="155"/>
      <c r="FU253" s="155"/>
      <c r="FV253" s="155"/>
      <c r="FW253" s="155"/>
      <c r="FX253" s="155"/>
      <c r="FY253" s="155"/>
      <c r="FZ253" s="155"/>
      <c r="GA253" s="155"/>
      <c r="GB253" s="155"/>
      <c r="GC253" s="155"/>
      <c r="GD253" s="155"/>
      <c r="GE253" s="155"/>
      <c r="GF253" s="155"/>
      <c r="GG253" s="155"/>
      <c r="GH253" s="155"/>
      <c r="GI253" s="155"/>
      <c r="GJ253" s="155"/>
      <c r="GK253" s="155"/>
      <c r="GL253" s="155"/>
      <c r="GM253" s="155"/>
      <c r="GN253" s="155"/>
      <c r="GO253" s="155"/>
      <c r="GP253" s="155"/>
      <c r="GQ253" s="155"/>
      <c r="GR253" s="155"/>
      <c r="GS253" s="155"/>
      <c r="GT253" s="155"/>
      <c r="GU253" s="155"/>
      <c r="GV253" s="155"/>
      <c r="GW253" s="155"/>
      <c r="GX253" s="155"/>
      <c r="GY253" s="155"/>
      <c r="GZ253" s="155"/>
      <c r="HA253" s="155"/>
      <c r="HB253" s="155"/>
      <c r="HC253" s="155"/>
      <c r="HD253" s="155"/>
      <c r="HE253" s="155"/>
      <c r="HF253" s="155"/>
      <c r="HG253" s="155"/>
      <c r="HH253" s="155"/>
      <c r="HI253" s="155"/>
      <c r="HJ253" s="155"/>
      <c r="HK253" s="155"/>
      <c r="HL253" s="155"/>
      <c r="HM253" s="155"/>
      <c r="HN253" s="155"/>
      <c r="HO253" s="155"/>
      <c r="HP253" s="155"/>
      <c r="HQ253" s="155"/>
      <c r="HR253" s="155"/>
      <c r="HS253" s="155"/>
      <c r="HT253" s="155"/>
      <c r="HU253" s="155"/>
      <c r="HV253" s="155"/>
      <c r="HW253" s="155"/>
      <c r="HX253" s="155"/>
      <c r="HY253" s="155"/>
      <c r="HZ253" s="155"/>
      <c r="IA253" s="155"/>
      <c r="IB253" s="155"/>
      <c r="IC253" s="155"/>
      <c r="ID253" s="155"/>
      <c r="IE253" s="155"/>
      <c r="IF253" s="155"/>
      <c r="IG253" s="155"/>
      <c r="IH253" s="155"/>
      <c r="II253" s="155"/>
      <c r="IJ253" s="155"/>
      <c r="IK253" s="155"/>
      <c r="IL253" s="155"/>
      <c r="IM253" s="155"/>
      <c r="IN253" s="155"/>
      <c r="IO253" s="155"/>
      <c r="IP253" s="155"/>
      <c r="IQ253" s="155"/>
      <c r="IR253" s="155"/>
      <c r="IS253" s="155"/>
      <c r="IT253" s="155"/>
      <c r="IU253" s="155"/>
      <c r="IV253" s="155"/>
    </row>
    <row r="254" spans="1:256" s="156" customFormat="1" ht="15" customHeight="1" thickTop="1" thickBot="1">
      <c r="A254" s="30">
        <f>B254/0.986923</f>
        <v>1.0132502738308866</v>
      </c>
      <c r="B254" s="3">
        <v>1</v>
      </c>
      <c r="C254" s="26">
        <f>A254*10.1979</f>
        <v>10.3330249675</v>
      </c>
      <c r="D254" s="30">
        <f>A254*750.061</f>
        <v>759.99951363986872</v>
      </c>
      <c r="E254" s="9">
        <f>A254*14.50377</f>
        <v>14.695948924080199</v>
      </c>
      <c r="F254" s="83"/>
      <c r="G254" s="111"/>
      <c r="H254" s="96"/>
      <c r="I254" s="96"/>
      <c r="J254" s="96"/>
      <c r="K254" s="96"/>
      <c r="L254" s="96"/>
      <c r="M254" s="96"/>
      <c r="N254" s="96"/>
      <c r="O254" s="96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55"/>
      <c r="AM254" s="155"/>
      <c r="AN254" s="155"/>
      <c r="AO254" s="155"/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H254" s="155"/>
      <c r="BI254" s="155"/>
      <c r="BJ254" s="155"/>
      <c r="BK254" s="155"/>
      <c r="BL254" s="155"/>
      <c r="BM254" s="155"/>
      <c r="BN254" s="155"/>
      <c r="BO254" s="155"/>
      <c r="BP254" s="155"/>
      <c r="BQ254" s="155"/>
      <c r="BR254" s="155"/>
      <c r="BS254" s="155"/>
      <c r="BT254" s="155"/>
      <c r="BU254" s="155"/>
      <c r="BV254" s="155"/>
      <c r="BW254" s="155"/>
      <c r="BX254" s="155"/>
      <c r="BY254" s="155"/>
      <c r="BZ254" s="155"/>
      <c r="CA254" s="155"/>
      <c r="CB254" s="155"/>
      <c r="CC254" s="155"/>
      <c r="CD254" s="155"/>
      <c r="CE254" s="155"/>
      <c r="CF254" s="155"/>
      <c r="CG254" s="155"/>
      <c r="CH254" s="155"/>
      <c r="CI254" s="155"/>
      <c r="CJ254" s="155"/>
      <c r="CK254" s="155"/>
      <c r="CL254" s="155"/>
      <c r="CM254" s="155"/>
      <c r="CN254" s="155"/>
      <c r="CO254" s="155"/>
      <c r="CP254" s="155"/>
      <c r="CQ254" s="155"/>
      <c r="CR254" s="155"/>
      <c r="CS254" s="155"/>
      <c r="CT254" s="155"/>
      <c r="CU254" s="155"/>
      <c r="CV254" s="155"/>
      <c r="CW254" s="155"/>
      <c r="CX254" s="155"/>
      <c r="CY254" s="155"/>
      <c r="CZ254" s="155"/>
      <c r="DA254" s="155"/>
      <c r="DB254" s="155"/>
      <c r="DC254" s="155"/>
      <c r="DD254" s="155"/>
      <c r="DE254" s="155"/>
      <c r="DF254" s="155"/>
      <c r="DG254" s="155"/>
      <c r="DH254" s="155"/>
      <c r="DI254" s="155"/>
      <c r="DJ254" s="155"/>
      <c r="DK254" s="155"/>
      <c r="DL254" s="155"/>
      <c r="DM254" s="155"/>
      <c r="DN254" s="155"/>
      <c r="DO254" s="155"/>
      <c r="DP254" s="155"/>
      <c r="DQ254" s="155"/>
      <c r="DR254" s="155"/>
      <c r="DS254" s="155"/>
      <c r="DT254" s="155"/>
      <c r="DU254" s="155"/>
      <c r="DV254" s="155"/>
      <c r="DW254" s="155"/>
      <c r="DX254" s="155"/>
      <c r="DY254" s="155"/>
      <c r="DZ254" s="155"/>
      <c r="EA254" s="155"/>
      <c r="EB254" s="155"/>
      <c r="EC254" s="155"/>
      <c r="ED254" s="155"/>
      <c r="EE254" s="155"/>
      <c r="EF254" s="155"/>
      <c r="EG254" s="155"/>
      <c r="EH254" s="155"/>
      <c r="EI254" s="155"/>
      <c r="EJ254" s="155"/>
      <c r="EK254" s="155"/>
      <c r="EL254" s="155"/>
      <c r="EM254" s="155"/>
      <c r="EN254" s="155"/>
      <c r="EO254" s="155"/>
      <c r="EP254" s="155"/>
      <c r="EQ254" s="155"/>
      <c r="ER254" s="155"/>
      <c r="ES254" s="155"/>
      <c r="ET254" s="155"/>
      <c r="EU254" s="155"/>
      <c r="EV254" s="155"/>
      <c r="EW254" s="155"/>
      <c r="EX254" s="155"/>
      <c r="EY254" s="155"/>
      <c r="EZ254" s="155"/>
      <c r="FA254" s="155"/>
      <c r="FB254" s="155"/>
      <c r="FC254" s="155"/>
      <c r="FD254" s="155"/>
      <c r="FE254" s="155"/>
      <c r="FF254" s="155"/>
      <c r="FG254" s="155"/>
      <c r="FH254" s="155"/>
      <c r="FI254" s="155"/>
      <c r="FJ254" s="155"/>
      <c r="FK254" s="155"/>
      <c r="FL254" s="155"/>
      <c r="FM254" s="155"/>
      <c r="FN254" s="155"/>
      <c r="FO254" s="155"/>
      <c r="FP254" s="155"/>
      <c r="FQ254" s="155"/>
      <c r="FR254" s="155"/>
      <c r="FS254" s="155"/>
      <c r="FT254" s="155"/>
      <c r="FU254" s="155"/>
      <c r="FV254" s="155"/>
      <c r="FW254" s="155"/>
      <c r="FX254" s="155"/>
      <c r="FY254" s="155"/>
      <c r="FZ254" s="155"/>
      <c r="GA254" s="155"/>
      <c r="GB254" s="155"/>
      <c r="GC254" s="155"/>
      <c r="GD254" s="155"/>
      <c r="GE254" s="155"/>
      <c r="GF254" s="155"/>
      <c r="GG254" s="155"/>
      <c r="GH254" s="155"/>
      <c r="GI254" s="155"/>
      <c r="GJ254" s="155"/>
      <c r="GK254" s="155"/>
      <c r="GL254" s="155"/>
      <c r="GM254" s="155"/>
      <c r="GN254" s="155"/>
      <c r="GO254" s="155"/>
      <c r="GP254" s="155"/>
      <c r="GQ254" s="155"/>
      <c r="GR254" s="155"/>
      <c r="GS254" s="155"/>
      <c r="GT254" s="155"/>
      <c r="GU254" s="155"/>
      <c r="GV254" s="155"/>
      <c r="GW254" s="155"/>
      <c r="GX254" s="155"/>
      <c r="GY254" s="155"/>
      <c r="GZ254" s="155"/>
      <c r="HA254" s="155"/>
      <c r="HB254" s="155"/>
      <c r="HC254" s="155"/>
      <c r="HD254" s="155"/>
      <c r="HE254" s="155"/>
      <c r="HF254" s="155"/>
      <c r="HG254" s="155"/>
      <c r="HH254" s="155"/>
      <c r="HI254" s="155"/>
      <c r="HJ254" s="155"/>
      <c r="HK254" s="155"/>
      <c r="HL254" s="155"/>
      <c r="HM254" s="155"/>
      <c r="HN254" s="155"/>
      <c r="HO254" s="155"/>
      <c r="HP254" s="155"/>
      <c r="HQ254" s="155"/>
      <c r="HR254" s="155"/>
      <c r="HS254" s="155"/>
      <c r="HT254" s="155"/>
      <c r="HU254" s="155"/>
      <c r="HV254" s="155"/>
      <c r="HW254" s="155"/>
      <c r="HX254" s="155"/>
      <c r="HY254" s="155"/>
      <c r="HZ254" s="155"/>
      <c r="IA254" s="155"/>
      <c r="IB254" s="155"/>
      <c r="IC254" s="155"/>
      <c r="ID254" s="155"/>
      <c r="IE254" s="155"/>
      <c r="IF254" s="155"/>
      <c r="IG254" s="155"/>
      <c r="IH254" s="155"/>
      <c r="II254" s="155"/>
      <c r="IJ254" s="155"/>
      <c r="IK254" s="155"/>
      <c r="IL254" s="155"/>
      <c r="IM254" s="155"/>
      <c r="IN254" s="155"/>
      <c r="IO254" s="155"/>
      <c r="IP254" s="155"/>
      <c r="IQ254" s="155"/>
      <c r="IR254" s="155"/>
      <c r="IS254" s="155"/>
      <c r="IT254" s="155"/>
      <c r="IU254" s="155"/>
      <c r="IV254" s="155"/>
    </row>
    <row r="255" spans="1:256" s="156" customFormat="1" ht="15" customHeight="1" thickTop="1" thickBot="1">
      <c r="A255" s="30">
        <f>C255/10.1979</f>
        <v>0.98059404387177751</v>
      </c>
      <c r="B255" s="26">
        <f>A255*0.986923</f>
        <v>0.96777081556006628</v>
      </c>
      <c r="C255" s="3">
        <v>10</v>
      </c>
      <c r="D255" s="30">
        <f>A255*750.061</f>
        <v>735.50534914050934</v>
      </c>
      <c r="E255" s="9">
        <f>A255*14.50377</f>
        <v>14.22231047568617</v>
      </c>
      <c r="F255" s="83"/>
      <c r="G255" s="111"/>
      <c r="H255" s="96"/>
      <c r="I255" s="96"/>
      <c r="J255" s="96"/>
      <c r="K255" s="96"/>
      <c r="L255" s="96"/>
      <c r="M255" s="96"/>
      <c r="N255" s="96"/>
      <c r="O255" s="96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  <c r="BI255" s="155"/>
      <c r="BJ255" s="155"/>
      <c r="BK255" s="155"/>
      <c r="BL255" s="155"/>
      <c r="BM255" s="155"/>
      <c r="BN255" s="155"/>
      <c r="BO255" s="155"/>
      <c r="BP255" s="155"/>
      <c r="BQ255" s="155"/>
      <c r="BR255" s="155"/>
      <c r="BS255" s="155"/>
      <c r="BT255" s="155"/>
      <c r="BU255" s="155"/>
      <c r="BV255" s="155"/>
      <c r="BW255" s="155"/>
      <c r="BX255" s="155"/>
      <c r="BY255" s="155"/>
      <c r="BZ255" s="155"/>
      <c r="CA255" s="155"/>
      <c r="CB255" s="155"/>
      <c r="CC255" s="155"/>
      <c r="CD255" s="155"/>
      <c r="CE255" s="155"/>
      <c r="CF255" s="155"/>
      <c r="CG255" s="155"/>
      <c r="CH255" s="155"/>
      <c r="CI255" s="155"/>
      <c r="CJ255" s="155"/>
      <c r="CK255" s="155"/>
      <c r="CL255" s="155"/>
      <c r="CM255" s="155"/>
      <c r="CN255" s="155"/>
      <c r="CO255" s="155"/>
      <c r="CP255" s="155"/>
      <c r="CQ255" s="155"/>
      <c r="CR255" s="155"/>
      <c r="CS255" s="155"/>
      <c r="CT255" s="155"/>
      <c r="CU255" s="155"/>
      <c r="CV255" s="155"/>
      <c r="CW255" s="155"/>
      <c r="CX255" s="155"/>
      <c r="CY255" s="155"/>
      <c r="CZ255" s="155"/>
      <c r="DA255" s="155"/>
      <c r="DB255" s="155"/>
      <c r="DC255" s="155"/>
      <c r="DD255" s="155"/>
      <c r="DE255" s="155"/>
      <c r="DF255" s="155"/>
      <c r="DG255" s="155"/>
      <c r="DH255" s="155"/>
      <c r="DI255" s="155"/>
      <c r="DJ255" s="155"/>
      <c r="DK255" s="155"/>
      <c r="DL255" s="155"/>
      <c r="DM255" s="155"/>
      <c r="DN255" s="155"/>
      <c r="DO255" s="155"/>
      <c r="DP255" s="155"/>
      <c r="DQ255" s="155"/>
      <c r="DR255" s="155"/>
      <c r="DS255" s="155"/>
      <c r="DT255" s="155"/>
      <c r="DU255" s="155"/>
      <c r="DV255" s="155"/>
      <c r="DW255" s="155"/>
      <c r="DX255" s="155"/>
      <c r="DY255" s="155"/>
      <c r="DZ255" s="155"/>
      <c r="EA255" s="155"/>
      <c r="EB255" s="155"/>
      <c r="EC255" s="155"/>
      <c r="ED255" s="155"/>
      <c r="EE255" s="155"/>
      <c r="EF255" s="155"/>
      <c r="EG255" s="155"/>
      <c r="EH255" s="155"/>
      <c r="EI255" s="155"/>
      <c r="EJ255" s="155"/>
      <c r="EK255" s="155"/>
      <c r="EL255" s="155"/>
      <c r="EM255" s="155"/>
      <c r="EN255" s="155"/>
      <c r="EO255" s="155"/>
      <c r="EP255" s="155"/>
      <c r="EQ255" s="155"/>
      <c r="ER255" s="155"/>
      <c r="ES255" s="155"/>
      <c r="ET255" s="155"/>
      <c r="EU255" s="155"/>
      <c r="EV255" s="155"/>
      <c r="EW255" s="155"/>
      <c r="EX255" s="155"/>
      <c r="EY255" s="155"/>
      <c r="EZ255" s="155"/>
      <c r="FA255" s="155"/>
      <c r="FB255" s="155"/>
      <c r="FC255" s="155"/>
      <c r="FD255" s="155"/>
      <c r="FE255" s="155"/>
      <c r="FF255" s="155"/>
      <c r="FG255" s="155"/>
      <c r="FH255" s="155"/>
      <c r="FI255" s="155"/>
      <c r="FJ255" s="155"/>
      <c r="FK255" s="155"/>
      <c r="FL255" s="155"/>
      <c r="FM255" s="155"/>
      <c r="FN255" s="155"/>
      <c r="FO255" s="155"/>
      <c r="FP255" s="155"/>
      <c r="FQ255" s="155"/>
      <c r="FR255" s="155"/>
      <c r="FS255" s="155"/>
      <c r="FT255" s="155"/>
      <c r="FU255" s="155"/>
      <c r="FV255" s="155"/>
      <c r="FW255" s="155"/>
      <c r="FX255" s="155"/>
      <c r="FY255" s="155"/>
      <c r="FZ255" s="155"/>
      <c r="GA255" s="155"/>
      <c r="GB255" s="155"/>
      <c r="GC255" s="155"/>
      <c r="GD255" s="155"/>
      <c r="GE255" s="155"/>
      <c r="GF255" s="155"/>
      <c r="GG255" s="155"/>
      <c r="GH255" s="155"/>
      <c r="GI255" s="155"/>
      <c r="GJ255" s="155"/>
      <c r="GK255" s="155"/>
      <c r="GL255" s="155"/>
      <c r="GM255" s="155"/>
      <c r="GN255" s="155"/>
      <c r="GO255" s="155"/>
      <c r="GP255" s="155"/>
      <c r="GQ255" s="155"/>
      <c r="GR255" s="155"/>
      <c r="GS255" s="155"/>
      <c r="GT255" s="155"/>
      <c r="GU255" s="155"/>
      <c r="GV255" s="155"/>
      <c r="GW255" s="155"/>
      <c r="GX255" s="155"/>
      <c r="GY255" s="155"/>
      <c r="GZ255" s="155"/>
      <c r="HA255" s="155"/>
      <c r="HB255" s="155"/>
      <c r="HC255" s="155"/>
      <c r="HD255" s="155"/>
      <c r="HE255" s="155"/>
      <c r="HF255" s="155"/>
      <c r="HG255" s="155"/>
      <c r="HH255" s="155"/>
      <c r="HI255" s="155"/>
      <c r="HJ255" s="155"/>
      <c r="HK255" s="155"/>
      <c r="HL255" s="155"/>
      <c r="HM255" s="155"/>
      <c r="HN255" s="155"/>
      <c r="HO255" s="155"/>
      <c r="HP255" s="155"/>
      <c r="HQ255" s="155"/>
      <c r="HR255" s="155"/>
      <c r="HS255" s="155"/>
      <c r="HT255" s="155"/>
      <c r="HU255" s="155"/>
      <c r="HV255" s="155"/>
      <c r="HW255" s="155"/>
      <c r="HX255" s="155"/>
      <c r="HY255" s="155"/>
      <c r="HZ255" s="155"/>
      <c r="IA255" s="155"/>
      <c r="IB255" s="155"/>
      <c r="IC255" s="155"/>
      <c r="ID255" s="155"/>
      <c r="IE255" s="155"/>
      <c r="IF255" s="155"/>
      <c r="IG255" s="155"/>
      <c r="IH255" s="155"/>
      <c r="II255" s="155"/>
      <c r="IJ255" s="155"/>
      <c r="IK255" s="155"/>
      <c r="IL255" s="155"/>
      <c r="IM255" s="155"/>
      <c r="IN255" s="155"/>
      <c r="IO255" s="155"/>
      <c r="IP255" s="155"/>
      <c r="IQ255" s="155"/>
      <c r="IR255" s="155"/>
      <c r="IS255" s="155"/>
      <c r="IT255" s="155"/>
      <c r="IU255" s="155"/>
      <c r="IV255" s="155"/>
    </row>
    <row r="256" spans="1:256" s="156" customFormat="1" ht="15" customHeight="1" thickTop="1" thickBot="1">
      <c r="A256" s="30">
        <f>D256/750.061</f>
        <v>0.99991867328123973</v>
      </c>
      <c r="B256" s="26">
        <f>A256*0.986923</f>
        <v>0.98684273679074097</v>
      </c>
      <c r="C256" s="26">
        <f>A256*10.1979</f>
        <v>10.197070638254756</v>
      </c>
      <c r="D256" s="3">
        <v>750</v>
      </c>
      <c r="E256" s="9">
        <f>A256*14.50377</f>
        <v>14.502590455976247</v>
      </c>
      <c r="F256" s="83"/>
      <c r="G256" s="111"/>
      <c r="H256" s="96"/>
      <c r="I256" s="96"/>
      <c r="J256" s="96"/>
      <c r="K256" s="96"/>
      <c r="L256" s="96"/>
      <c r="M256" s="96"/>
      <c r="N256" s="96"/>
      <c r="O256" s="96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/>
      <c r="AH256" s="155"/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  <c r="AV256" s="155"/>
      <c r="AW256" s="155"/>
      <c r="AX256" s="155"/>
      <c r="AY256" s="155"/>
      <c r="AZ256" s="155"/>
      <c r="BA256" s="155"/>
      <c r="BB256" s="155"/>
      <c r="BC256" s="155"/>
      <c r="BD256" s="155"/>
      <c r="BE256" s="155"/>
      <c r="BF256" s="155"/>
      <c r="BG256" s="155"/>
      <c r="BH256" s="155"/>
      <c r="BI256" s="155"/>
      <c r="BJ256" s="155"/>
      <c r="BK256" s="155"/>
      <c r="BL256" s="155"/>
      <c r="BM256" s="155"/>
      <c r="BN256" s="155"/>
      <c r="BO256" s="155"/>
      <c r="BP256" s="155"/>
      <c r="BQ256" s="155"/>
      <c r="BR256" s="155"/>
      <c r="BS256" s="155"/>
      <c r="BT256" s="155"/>
      <c r="BU256" s="155"/>
      <c r="BV256" s="155"/>
      <c r="BW256" s="155"/>
      <c r="BX256" s="155"/>
      <c r="BY256" s="155"/>
      <c r="BZ256" s="155"/>
      <c r="CA256" s="155"/>
      <c r="CB256" s="155"/>
      <c r="CC256" s="155"/>
      <c r="CD256" s="155"/>
      <c r="CE256" s="155"/>
      <c r="CF256" s="155"/>
      <c r="CG256" s="155"/>
      <c r="CH256" s="155"/>
      <c r="CI256" s="155"/>
      <c r="CJ256" s="155"/>
      <c r="CK256" s="155"/>
      <c r="CL256" s="155"/>
      <c r="CM256" s="155"/>
      <c r="CN256" s="155"/>
      <c r="CO256" s="155"/>
      <c r="CP256" s="155"/>
      <c r="CQ256" s="155"/>
      <c r="CR256" s="155"/>
      <c r="CS256" s="155"/>
      <c r="CT256" s="155"/>
      <c r="CU256" s="155"/>
      <c r="CV256" s="155"/>
      <c r="CW256" s="155"/>
      <c r="CX256" s="155"/>
      <c r="CY256" s="155"/>
      <c r="CZ256" s="155"/>
      <c r="DA256" s="155"/>
      <c r="DB256" s="155"/>
      <c r="DC256" s="155"/>
      <c r="DD256" s="155"/>
      <c r="DE256" s="155"/>
      <c r="DF256" s="155"/>
      <c r="DG256" s="155"/>
      <c r="DH256" s="155"/>
      <c r="DI256" s="155"/>
      <c r="DJ256" s="155"/>
      <c r="DK256" s="155"/>
      <c r="DL256" s="155"/>
      <c r="DM256" s="155"/>
      <c r="DN256" s="155"/>
      <c r="DO256" s="155"/>
      <c r="DP256" s="155"/>
      <c r="DQ256" s="155"/>
      <c r="DR256" s="155"/>
      <c r="DS256" s="155"/>
      <c r="DT256" s="155"/>
      <c r="DU256" s="155"/>
      <c r="DV256" s="155"/>
      <c r="DW256" s="155"/>
      <c r="DX256" s="155"/>
      <c r="DY256" s="155"/>
      <c r="DZ256" s="155"/>
      <c r="EA256" s="155"/>
      <c r="EB256" s="155"/>
      <c r="EC256" s="155"/>
      <c r="ED256" s="155"/>
      <c r="EE256" s="155"/>
      <c r="EF256" s="155"/>
      <c r="EG256" s="155"/>
      <c r="EH256" s="155"/>
      <c r="EI256" s="155"/>
      <c r="EJ256" s="155"/>
      <c r="EK256" s="155"/>
      <c r="EL256" s="155"/>
      <c r="EM256" s="155"/>
      <c r="EN256" s="155"/>
      <c r="EO256" s="155"/>
      <c r="EP256" s="155"/>
      <c r="EQ256" s="155"/>
      <c r="ER256" s="155"/>
      <c r="ES256" s="155"/>
      <c r="ET256" s="155"/>
      <c r="EU256" s="155"/>
      <c r="EV256" s="155"/>
      <c r="EW256" s="155"/>
      <c r="EX256" s="155"/>
      <c r="EY256" s="155"/>
      <c r="EZ256" s="155"/>
      <c r="FA256" s="155"/>
      <c r="FB256" s="155"/>
      <c r="FC256" s="155"/>
      <c r="FD256" s="155"/>
      <c r="FE256" s="155"/>
      <c r="FF256" s="155"/>
      <c r="FG256" s="155"/>
      <c r="FH256" s="155"/>
      <c r="FI256" s="155"/>
      <c r="FJ256" s="155"/>
      <c r="FK256" s="155"/>
      <c r="FL256" s="155"/>
      <c r="FM256" s="155"/>
      <c r="FN256" s="155"/>
      <c r="FO256" s="155"/>
      <c r="FP256" s="155"/>
      <c r="FQ256" s="155"/>
      <c r="FR256" s="155"/>
      <c r="FS256" s="155"/>
      <c r="FT256" s="155"/>
      <c r="FU256" s="155"/>
      <c r="FV256" s="155"/>
      <c r="FW256" s="155"/>
      <c r="FX256" s="155"/>
      <c r="FY256" s="155"/>
      <c r="FZ256" s="155"/>
      <c r="GA256" s="155"/>
      <c r="GB256" s="155"/>
      <c r="GC256" s="155"/>
      <c r="GD256" s="155"/>
      <c r="GE256" s="155"/>
      <c r="GF256" s="155"/>
      <c r="GG256" s="155"/>
      <c r="GH256" s="155"/>
      <c r="GI256" s="155"/>
      <c r="GJ256" s="155"/>
      <c r="GK256" s="155"/>
      <c r="GL256" s="155"/>
      <c r="GM256" s="155"/>
      <c r="GN256" s="155"/>
      <c r="GO256" s="155"/>
      <c r="GP256" s="155"/>
      <c r="GQ256" s="155"/>
      <c r="GR256" s="155"/>
      <c r="GS256" s="155"/>
      <c r="GT256" s="155"/>
      <c r="GU256" s="155"/>
      <c r="GV256" s="155"/>
      <c r="GW256" s="155"/>
      <c r="GX256" s="155"/>
      <c r="GY256" s="155"/>
      <c r="GZ256" s="155"/>
      <c r="HA256" s="155"/>
      <c r="HB256" s="155"/>
      <c r="HC256" s="155"/>
      <c r="HD256" s="155"/>
      <c r="HE256" s="155"/>
      <c r="HF256" s="155"/>
      <c r="HG256" s="155"/>
      <c r="HH256" s="155"/>
      <c r="HI256" s="155"/>
      <c r="HJ256" s="155"/>
      <c r="HK256" s="155"/>
      <c r="HL256" s="155"/>
      <c r="HM256" s="155"/>
      <c r="HN256" s="155"/>
      <c r="HO256" s="155"/>
      <c r="HP256" s="155"/>
      <c r="HQ256" s="155"/>
      <c r="HR256" s="155"/>
      <c r="HS256" s="155"/>
      <c r="HT256" s="155"/>
      <c r="HU256" s="155"/>
      <c r="HV256" s="155"/>
      <c r="HW256" s="155"/>
      <c r="HX256" s="155"/>
      <c r="HY256" s="155"/>
      <c r="HZ256" s="155"/>
      <c r="IA256" s="155"/>
      <c r="IB256" s="155"/>
      <c r="IC256" s="155"/>
      <c r="ID256" s="155"/>
      <c r="IE256" s="155"/>
      <c r="IF256" s="155"/>
      <c r="IG256" s="155"/>
      <c r="IH256" s="155"/>
      <c r="II256" s="155"/>
      <c r="IJ256" s="155"/>
      <c r="IK256" s="155"/>
      <c r="IL256" s="155"/>
      <c r="IM256" s="155"/>
      <c r="IN256" s="155"/>
      <c r="IO256" s="155"/>
      <c r="IP256" s="155"/>
      <c r="IQ256" s="155"/>
      <c r="IR256" s="155"/>
      <c r="IS256" s="155"/>
      <c r="IT256" s="155"/>
      <c r="IU256" s="155"/>
      <c r="IV256" s="155"/>
    </row>
    <row r="257" spans="1:256" s="156" customFormat="1" ht="15" customHeight="1" thickTop="1" thickBot="1">
      <c r="A257" s="30">
        <f>E257/14.50377</f>
        <v>6.8947590867753696</v>
      </c>
      <c r="B257" s="26">
        <f>A257*0.986923</f>
        <v>6.8045963221976082</v>
      </c>
      <c r="C257" s="26">
        <f>A257*10.1979</f>
        <v>70.312063691026552</v>
      </c>
      <c r="D257" s="30">
        <f>A257*750.061</f>
        <v>5171.489895385821</v>
      </c>
      <c r="E257" s="3">
        <v>100</v>
      </c>
      <c r="F257" s="83"/>
      <c r="G257" s="111"/>
      <c r="H257" s="96"/>
      <c r="I257" s="96"/>
      <c r="J257" s="96"/>
      <c r="K257" s="96"/>
      <c r="L257" s="96"/>
      <c r="M257" s="96"/>
      <c r="N257" s="96"/>
      <c r="O257" s="96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/>
      <c r="AH257" s="155"/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  <c r="AV257" s="155"/>
      <c r="AW257" s="155"/>
      <c r="AX257" s="155"/>
      <c r="AY257" s="155"/>
      <c r="AZ257" s="155"/>
      <c r="BA257" s="155"/>
      <c r="BB257" s="155"/>
      <c r="BC257" s="155"/>
      <c r="BD257" s="155"/>
      <c r="BE257" s="155"/>
      <c r="BF257" s="155"/>
      <c r="BG257" s="155"/>
      <c r="BH257" s="155"/>
      <c r="BI257" s="155"/>
      <c r="BJ257" s="155"/>
      <c r="BK257" s="155"/>
      <c r="BL257" s="155"/>
      <c r="BM257" s="155"/>
      <c r="BN257" s="155"/>
      <c r="BO257" s="155"/>
      <c r="BP257" s="155"/>
      <c r="BQ257" s="155"/>
      <c r="BR257" s="155"/>
      <c r="BS257" s="155"/>
      <c r="BT257" s="155"/>
      <c r="BU257" s="155"/>
      <c r="BV257" s="155"/>
      <c r="BW257" s="155"/>
      <c r="BX257" s="155"/>
      <c r="BY257" s="155"/>
      <c r="BZ257" s="155"/>
      <c r="CA257" s="155"/>
      <c r="CB257" s="155"/>
      <c r="CC257" s="155"/>
      <c r="CD257" s="155"/>
      <c r="CE257" s="155"/>
      <c r="CF257" s="155"/>
      <c r="CG257" s="155"/>
      <c r="CH257" s="155"/>
      <c r="CI257" s="155"/>
      <c r="CJ257" s="155"/>
      <c r="CK257" s="155"/>
      <c r="CL257" s="155"/>
      <c r="CM257" s="155"/>
      <c r="CN257" s="155"/>
      <c r="CO257" s="155"/>
      <c r="CP257" s="155"/>
      <c r="CQ257" s="155"/>
      <c r="CR257" s="155"/>
      <c r="CS257" s="155"/>
      <c r="CT257" s="155"/>
      <c r="CU257" s="155"/>
      <c r="CV257" s="155"/>
      <c r="CW257" s="155"/>
      <c r="CX257" s="155"/>
      <c r="CY257" s="155"/>
      <c r="CZ257" s="155"/>
      <c r="DA257" s="155"/>
      <c r="DB257" s="155"/>
      <c r="DC257" s="155"/>
      <c r="DD257" s="155"/>
      <c r="DE257" s="155"/>
      <c r="DF257" s="155"/>
      <c r="DG257" s="155"/>
      <c r="DH257" s="155"/>
      <c r="DI257" s="155"/>
      <c r="DJ257" s="155"/>
      <c r="DK257" s="155"/>
      <c r="DL257" s="155"/>
      <c r="DM257" s="155"/>
      <c r="DN257" s="155"/>
      <c r="DO257" s="155"/>
      <c r="DP257" s="155"/>
      <c r="DQ257" s="155"/>
      <c r="DR257" s="155"/>
      <c r="DS257" s="155"/>
      <c r="DT257" s="155"/>
      <c r="DU257" s="155"/>
      <c r="DV257" s="155"/>
      <c r="DW257" s="155"/>
      <c r="DX257" s="155"/>
      <c r="DY257" s="155"/>
      <c r="DZ257" s="155"/>
      <c r="EA257" s="155"/>
      <c r="EB257" s="155"/>
      <c r="EC257" s="155"/>
      <c r="ED257" s="155"/>
      <c r="EE257" s="155"/>
      <c r="EF257" s="155"/>
      <c r="EG257" s="155"/>
      <c r="EH257" s="155"/>
      <c r="EI257" s="155"/>
      <c r="EJ257" s="155"/>
      <c r="EK257" s="155"/>
      <c r="EL257" s="155"/>
      <c r="EM257" s="155"/>
      <c r="EN257" s="155"/>
      <c r="EO257" s="155"/>
      <c r="EP257" s="155"/>
      <c r="EQ257" s="155"/>
      <c r="ER257" s="155"/>
      <c r="ES257" s="155"/>
      <c r="ET257" s="155"/>
      <c r="EU257" s="155"/>
      <c r="EV257" s="155"/>
      <c r="EW257" s="155"/>
      <c r="EX257" s="155"/>
      <c r="EY257" s="155"/>
      <c r="EZ257" s="155"/>
      <c r="FA257" s="155"/>
      <c r="FB257" s="155"/>
      <c r="FC257" s="155"/>
      <c r="FD257" s="155"/>
      <c r="FE257" s="155"/>
      <c r="FF257" s="155"/>
      <c r="FG257" s="155"/>
      <c r="FH257" s="155"/>
      <c r="FI257" s="155"/>
      <c r="FJ257" s="155"/>
      <c r="FK257" s="155"/>
      <c r="FL257" s="155"/>
      <c r="FM257" s="155"/>
      <c r="FN257" s="155"/>
      <c r="FO257" s="155"/>
      <c r="FP257" s="155"/>
      <c r="FQ257" s="155"/>
      <c r="FR257" s="155"/>
      <c r="FS257" s="155"/>
      <c r="FT257" s="155"/>
      <c r="FU257" s="155"/>
      <c r="FV257" s="155"/>
      <c r="FW257" s="155"/>
      <c r="FX257" s="155"/>
      <c r="FY257" s="155"/>
      <c r="FZ257" s="155"/>
      <c r="GA257" s="155"/>
      <c r="GB257" s="155"/>
      <c r="GC257" s="155"/>
      <c r="GD257" s="155"/>
      <c r="GE257" s="155"/>
      <c r="GF257" s="155"/>
      <c r="GG257" s="155"/>
      <c r="GH257" s="155"/>
      <c r="GI257" s="155"/>
      <c r="GJ257" s="155"/>
      <c r="GK257" s="155"/>
      <c r="GL257" s="155"/>
      <c r="GM257" s="155"/>
      <c r="GN257" s="155"/>
      <c r="GO257" s="155"/>
      <c r="GP257" s="155"/>
      <c r="GQ257" s="155"/>
      <c r="GR257" s="155"/>
      <c r="GS257" s="155"/>
      <c r="GT257" s="155"/>
      <c r="GU257" s="155"/>
      <c r="GV257" s="155"/>
      <c r="GW257" s="155"/>
      <c r="GX257" s="155"/>
      <c r="GY257" s="155"/>
      <c r="GZ257" s="155"/>
      <c r="HA257" s="155"/>
      <c r="HB257" s="155"/>
      <c r="HC257" s="155"/>
      <c r="HD257" s="155"/>
      <c r="HE257" s="155"/>
      <c r="HF257" s="155"/>
      <c r="HG257" s="155"/>
      <c r="HH257" s="155"/>
      <c r="HI257" s="155"/>
      <c r="HJ257" s="155"/>
      <c r="HK257" s="155"/>
      <c r="HL257" s="155"/>
      <c r="HM257" s="155"/>
      <c r="HN257" s="155"/>
      <c r="HO257" s="155"/>
      <c r="HP257" s="155"/>
      <c r="HQ257" s="155"/>
      <c r="HR257" s="155"/>
      <c r="HS257" s="155"/>
      <c r="HT257" s="155"/>
      <c r="HU257" s="155"/>
      <c r="HV257" s="155"/>
      <c r="HW257" s="155"/>
      <c r="HX257" s="155"/>
      <c r="HY257" s="155"/>
      <c r="HZ257" s="155"/>
      <c r="IA257" s="155"/>
      <c r="IB257" s="155"/>
      <c r="IC257" s="155"/>
      <c r="ID257" s="155"/>
      <c r="IE257" s="155"/>
      <c r="IF257" s="155"/>
      <c r="IG257" s="155"/>
      <c r="IH257" s="155"/>
      <c r="II257" s="155"/>
      <c r="IJ257" s="155"/>
      <c r="IK257" s="155"/>
      <c r="IL257" s="155"/>
      <c r="IM257" s="155"/>
      <c r="IN257" s="155"/>
      <c r="IO257" s="155"/>
      <c r="IP257" s="155"/>
      <c r="IQ257" s="155"/>
      <c r="IR257" s="155"/>
      <c r="IS257" s="155"/>
      <c r="IT257" s="155"/>
      <c r="IU257" s="155"/>
      <c r="IV257" s="155"/>
    </row>
    <row r="258" spans="1:256" s="156" customFormat="1" ht="15" customHeight="1" thickTop="1">
      <c r="A258" s="129"/>
      <c r="B258" s="129"/>
      <c r="C258" s="92"/>
      <c r="D258" s="92"/>
      <c r="E258" s="115"/>
      <c r="F258" s="115"/>
      <c r="G258" s="111"/>
      <c r="H258" s="96"/>
      <c r="I258" s="96"/>
      <c r="J258" s="96"/>
      <c r="K258" s="96"/>
      <c r="L258" s="96"/>
      <c r="M258" s="96"/>
      <c r="N258" s="96"/>
      <c r="O258" s="96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/>
      <c r="AH258" s="155"/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5"/>
      <c r="AT258" s="155"/>
      <c r="AU258" s="155"/>
      <c r="AV258" s="155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  <c r="BI258" s="155"/>
      <c r="BJ258" s="155"/>
      <c r="BK258" s="155"/>
      <c r="BL258" s="155"/>
      <c r="BM258" s="155"/>
      <c r="BN258" s="155"/>
      <c r="BO258" s="155"/>
      <c r="BP258" s="155"/>
      <c r="BQ258" s="155"/>
      <c r="BR258" s="155"/>
      <c r="BS258" s="155"/>
      <c r="BT258" s="155"/>
      <c r="BU258" s="155"/>
      <c r="BV258" s="155"/>
      <c r="BW258" s="155"/>
      <c r="BX258" s="155"/>
      <c r="BY258" s="155"/>
      <c r="BZ258" s="155"/>
      <c r="CA258" s="155"/>
      <c r="CB258" s="155"/>
      <c r="CC258" s="155"/>
      <c r="CD258" s="155"/>
      <c r="CE258" s="155"/>
      <c r="CF258" s="155"/>
      <c r="CG258" s="155"/>
      <c r="CH258" s="155"/>
      <c r="CI258" s="155"/>
      <c r="CJ258" s="155"/>
      <c r="CK258" s="155"/>
      <c r="CL258" s="155"/>
      <c r="CM258" s="155"/>
      <c r="CN258" s="155"/>
      <c r="CO258" s="155"/>
      <c r="CP258" s="155"/>
      <c r="CQ258" s="155"/>
      <c r="CR258" s="155"/>
      <c r="CS258" s="155"/>
      <c r="CT258" s="155"/>
      <c r="CU258" s="155"/>
      <c r="CV258" s="155"/>
      <c r="CW258" s="155"/>
      <c r="CX258" s="155"/>
      <c r="CY258" s="155"/>
      <c r="CZ258" s="155"/>
      <c r="DA258" s="155"/>
      <c r="DB258" s="155"/>
      <c r="DC258" s="155"/>
      <c r="DD258" s="155"/>
      <c r="DE258" s="155"/>
      <c r="DF258" s="155"/>
      <c r="DG258" s="155"/>
      <c r="DH258" s="155"/>
      <c r="DI258" s="155"/>
      <c r="DJ258" s="155"/>
      <c r="DK258" s="155"/>
      <c r="DL258" s="155"/>
      <c r="DM258" s="155"/>
      <c r="DN258" s="155"/>
      <c r="DO258" s="155"/>
      <c r="DP258" s="155"/>
      <c r="DQ258" s="155"/>
      <c r="DR258" s="155"/>
      <c r="DS258" s="155"/>
      <c r="DT258" s="155"/>
      <c r="DU258" s="155"/>
      <c r="DV258" s="155"/>
      <c r="DW258" s="155"/>
      <c r="DX258" s="155"/>
      <c r="DY258" s="155"/>
      <c r="DZ258" s="155"/>
      <c r="EA258" s="155"/>
      <c r="EB258" s="155"/>
      <c r="EC258" s="155"/>
      <c r="ED258" s="155"/>
      <c r="EE258" s="155"/>
      <c r="EF258" s="155"/>
      <c r="EG258" s="155"/>
      <c r="EH258" s="155"/>
      <c r="EI258" s="155"/>
      <c r="EJ258" s="155"/>
      <c r="EK258" s="155"/>
      <c r="EL258" s="155"/>
      <c r="EM258" s="155"/>
      <c r="EN258" s="155"/>
      <c r="EO258" s="155"/>
      <c r="EP258" s="155"/>
      <c r="EQ258" s="155"/>
      <c r="ER258" s="155"/>
      <c r="ES258" s="155"/>
      <c r="ET258" s="155"/>
      <c r="EU258" s="155"/>
      <c r="EV258" s="155"/>
      <c r="EW258" s="155"/>
      <c r="EX258" s="155"/>
      <c r="EY258" s="155"/>
      <c r="EZ258" s="155"/>
      <c r="FA258" s="155"/>
      <c r="FB258" s="155"/>
      <c r="FC258" s="155"/>
      <c r="FD258" s="155"/>
      <c r="FE258" s="155"/>
      <c r="FF258" s="155"/>
      <c r="FG258" s="155"/>
      <c r="FH258" s="155"/>
      <c r="FI258" s="155"/>
      <c r="FJ258" s="155"/>
      <c r="FK258" s="155"/>
      <c r="FL258" s="155"/>
      <c r="FM258" s="155"/>
      <c r="FN258" s="155"/>
      <c r="FO258" s="155"/>
      <c r="FP258" s="155"/>
      <c r="FQ258" s="155"/>
      <c r="FR258" s="155"/>
      <c r="FS258" s="155"/>
      <c r="FT258" s="155"/>
      <c r="FU258" s="155"/>
      <c r="FV258" s="155"/>
      <c r="FW258" s="155"/>
      <c r="FX258" s="155"/>
      <c r="FY258" s="155"/>
      <c r="FZ258" s="155"/>
      <c r="GA258" s="155"/>
      <c r="GB258" s="155"/>
      <c r="GC258" s="155"/>
      <c r="GD258" s="155"/>
      <c r="GE258" s="155"/>
      <c r="GF258" s="155"/>
      <c r="GG258" s="155"/>
      <c r="GH258" s="155"/>
      <c r="GI258" s="155"/>
      <c r="GJ258" s="155"/>
      <c r="GK258" s="155"/>
      <c r="GL258" s="155"/>
      <c r="GM258" s="155"/>
      <c r="GN258" s="155"/>
      <c r="GO258" s="155"/>
      <c r="GP258" s="155"/>
      <c r="GQ258" s="155"/>
      <c r="GR258" s="155"/>
      <c r="GS258" s="155"/>
      <c r="GT258" s="155"/>
      <c r="GU258" s="155"/>
      <c r="GV258" s="155"/>
      <c r="GW258" s="155"/>
      <c r="GX258" s="155"/>
      <c r="GY258" s="155"/>
      <c r="GZ258" s="155"/>
      <c r="HA258" s="155"/>
      <c r="HB258" s="155"/>
      <c r="HC258" s="155"/>
      <c r="HD258" s="155"/>
      <c r="HE258" s="155"/>
      <c r="HF258" s="155"/>
      <c r="HG258" s="155"/>
      <c r="HH258" s="155"/>
      <c r="HI258" s="155"/>
      <c r="HJ258" s="155"/>
      <c r="HK258" s="155"/>
      <c r="HL258" s="155"/>
      <c r="HM258" s="155"/>
      <c r="HN258" s="155"/>
      <c r="HO258" s="155"/>
      <c r="HP258" s="155"/>
      <c r="HQ258" s="155"/>
      <c r="HR258" s="155"/>
      <c r="HS258" s="155"/>
      <c r="HT258" s="155"/>
      <c r="HU258" s="155"/>
      <c r="HV258" s="155"/>
      <c r="HW258" s="155"/>
      <c r="HX258" s="155"/>
      <c r="HY258" s="155"/>
      <c r="HZ258" s="155"/>
      <c r="IA258" s="155"/>
      <c r="IB258" s="155"/>
      <c r="IC258" s="155"/>
      <c r="ID258" s="155"/>
      <c r="IE258" s="155"/>
      <c r="IF258" s="155"/>
      <c r="IG258" s="155"/>
      <c r="IH258" s="155"/>
      <c r="II258" s="155"/>
      <c r="IJ258" s="155"/>
      <c r="IK258" s="155"/>
      <c r="IL258" s="155"/>
      <c r="IM258" s="155"/>
      <c r="IN258" s="155"/>
      <c r="IO258" s="155"/>
      <c r="IP258" s="155"/>
      <c r="IQ258" s="155"/>
      <c r="IR258" s="155"/>
      <c r="IS258" s="155"/>
      <c r="IT258" s="155"/>
      <c r="IU258" s="155"/>
      <c r="IV258" s="155"/>
    </row>
    <row r="259" spans="1:256" ht="15" customHeight="1">
      <c r="A259" s="226" t="s">
        <v>265</v>
      </c>
      <c r="B259" s="151"/>
      <c r="C259" s="151"/>
      <c r="D259" s="228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</row>
    <row r="260" spans="1:256" ht="15" customHeight="1" thickBot="1">
      <c r="A260" s="49" t="s">
        <v>33</v>
      </c>
      <c r="B260" s="49" t="s">
        <v>18</v>
      </c>
      <c r="C260" s="49" t="s">
        <v>19</v>
      </c>
      <c r="D260" s="49" t="s">
        <v>20</v>
      </c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</row>
    <row r="261" spans="1:256" ht="15" customHeight="1" thickTop="1" thickBot="1">
      <c r="A261" s="24">
        <v>75</v>
      </c>
      <c r="B261" s="30">
        <f>A261/0.746</f>
        <v>100.53619302949062</v>
      </c>
      <c r="C261" s="29">
        <f>+A261*860</f>
        <v>64500</v>
      </c>
      <c r="D261" s="7">
        <f t="shared" ref="D261:D262" si="22">A261*3600</f>
        <v>270000</v>
      </c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</row>
    <row r="262" spans="1:256" ht="15" customHeight="1" thickTop="1" thickBot="1">
      <c r="A262" s="30">
        <f>B262*0.746</f>
        <v>0.746</v>
      </c>
      <c r="B262" s="24">
        <v>1</v>
      </c>
      <c r="C262" s="29">
        <f>+A262*860</f>
        <v>641.55999999999995</v>
      </c>
      <c r="D262" s="7">
        <f t="shared" si="22"/>
        <v>2685.6</v>
      </c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</row>
    <row r="263" spans="1:256" ht="15" customHeight="1" thickTop="1" thickBot="1">
      <c r="A263" s="30">
        <f>+C263/860</f>
        <v>1.1627906976744187</v>
      </c>
      <c r="B263" s="30">
        <f>A263/0.746</f>
        <v>1.5587006671238857</v>
      </c>
      <c r="C263" s="8">
        <v>1000</v>
      </c>
      <c r="D263" s="7">
        <f>A263*3600</f>
        <v>4186.0465116279074</v>
      </c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</row>
    <row r="264" spans="1:256" ht="15" customHeight="1" thickTop="1" thickBot="1">
      <c r="A264" s="30">
        <f>+D264/3600</f>
        <v>0.27777777777777779</v>
      </c>
      <c r="B264" s="30">
        <f>A264/0.746</f>
        <v>0.37235627047959491</v>
      </c>
      <c r="C264" s="29">
        <f>+A264*860</f>
        <v>238.88888888888889</v>
      </c>
      <c r="D264" s="8">
        <v>1000</v>
      </c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</row>
    <row r="265" spans="1:256" s="156" customFormat="1" ht="15" customHeight="1" thickTop="1">
      <c r="A265" s="89"/>
      <c r="B265" s="89"/>
      <c r="C265" s="94"/>
      <c r="D265" s="107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5"/>
      <c r="AY265" s="155"/>
      <c r="AZ265" s="155"/>
      <c r="BA265" s="155"/>
      <c r="BB265" s="155"/>
      <c r="BC265" s="155"/>
      <c r="BD265" s="155"/>
      <c r="BE265" s="155"/>
      <c r="BF265" s="155"/>
      <c r="BG265" s="155"/>
      <c r="BH265" s="155"/>
      <c r="BI265" s="155"/>
      <c r="BJ265" s="155"/>
      <c r="BK265" s="155"/>
      <c r="BL265" s="155"/>
      <c r="BM265" s="155"/>
      <c r="BN265" s="155"/>
      <c r="BO265" s="155"/>
      <c r="BP265" s="155"/>
      <c r="BQ265" s="155"/>
      <c r="BR265" s="155"/>
      <c r="BS265" s="155"/>
      <c r="BT265" s="155"/>
      <c r="BU265" s="155"/>
      <c r="BV265" s="155"/>
      <c r="BW265" s="155"/>
      <c r="BX265" s="155"/>
      <c r="BY265" s="155"/>
      <c r="BZ265" s="155"/>
      <c r="CA265" s="155"/>
      <c r="CB265" s="155"/>
      <c r="CC265" s="155"/>
      <c r="CD265" s="155"/>
      <c r="CE265" s="155"/>
      <c r="CF265" s="155"/>
      <c r="CG265" s="155"/>
      <c r="CH265" s="155"/>
      <c r="CI265" s="155"/>
      <c r="CJ265" s="155"/>
      <c r="CK265" s="155"/>
      <c r="CL265" s="155"/>
      <c r="CM265" s="155"/>
      <c r="CN265" s="155"/>
      <c r="CO265" s="155"/>
      <c r="CP265" s="155"/>
      <c r="CQ265" s="155"/>
      <c r="CR265" s="155"/>
      <c r="CS265" s="155"/>
      <c r="CT265" s="155"/>
      <c r="CU265" s="155"/>
      <c r="CV265" s="155"/>
      <c r="CW265" s="155"/>
      <c r="CX265" s="155"/>
      <c r="CY265" s="155"/>
      <c r="CZ265" s="155"/>
      <c r="DA265" s="155"/>
      <c r="DB265" s="155"/>
      <c r="DC265" s="155"/>
      <c r="DD265" s="155"/>
      <c r="DE265" s="155"/>
      <c r="DF265" s="155"/>
      <c r="DG265" s="155"/>
      <c r="DH265" s="155"/>
      <c r="DI265" s="155"/>
      <c r="DJ265" s="155"/>
      <c r="DK265" s="155"/>
      <c r="DL265" s="155"/>
      <c r="DM265" s="155"/>
      <c r="DN265" s="155"/>
      <c r="DO265" s="155"/>
      <c r="DP265" s="155"/>
      <c r="DQ265" s="155"/>
      <c r="DR265" s="155"/>
      <c r="DS265" s="155"/>
      <c r="DT265" s="155"/>
      <c r="DU265" s="155"/>
      <c r="DV265" s="155"/>
      <c r="DW265" s="155"/>
      <c r="DX265" s="155"/>
      <c r="DY265" s="155"/>
      <c r="DZ265" s="155"/>
      <c r="EA265" s="155"/>
      <c r="EB265" s="155"/>
      <c r="EC265" s="155"/>
      <c r="ED265" s="155"/>
      <c r="EE265" s="155"/>
      <c r="EF265" s="155"/>
      <c r="EG265" s="155"/>
      <c r="EH265" s="155"/>
      <c r="EI265" s="155"/>
      <c r="EJ265" s="155"/>
      <c r="EK265" s="155"/>
      <c r="EL265" s="155"/>
      <c r="EM265" s="155"/>
      <c r="EN265" s="155"/>
      <c r="EO265" s="155"/>
      <c r="EP265" s="155"/>
      <c r="EQ265" s="155"/>
      <c r="ER265" s="155"/>
      <c r="ES265" s="155"/>
      <c r="ET265" s="155"/>
      <c r="EU265" s="155"/>
      <c r="EV265" s="155"/>
      <c r="EW265" s="155"/>
      <c r="EX265" s="155"/>
      <c r="EY265" s="155"/>
      <c r="EZ265" s="155"/>
      <c r="FA265" s="155"/>
      <c r="FB265" s="155"/>
      <c r="FC265" s="155"/>
      <c r="FD265" s="155"/>
      <c r="FE265" s="155"/>
      <c r="FF265" s="155"/>
      <c r="FG265" s="155"/>
      <c r="FH265" s="155"/>
      <c r="FI265" s="155"/>
      <c r="FJ265" s="155"/>
      <c r="FK265" s="155"/>
      <c r="FL265" s="155"/>
      <c r="FM265" s="155"/>
      <c r="FN265" s="155"/>
      <c r="FO265" s="155"/>
      <c r="FP265" s="155"/>
      <c r="FQ265" s="155"/>
      <c r="FR265" s="155"/>
      <c r="FS265" s="155"/>
      <c r="FT265" s="155"/>
      <c r="FU265" s="155"/>
      <c r="FV265" s="155"/>
      <c r="FW265" s="155"/>
      <c r="FX265" s="155"/>
      <c r="FY265" s="155"/>
      <c r="FZ265" s="155"/>
      <c r="GA265" s="155"/>
      <c r="GB265" s="155"/>
      <c r="GC265" s="155"/>
      <c r="GD265" s="155"/>
      <c r="GE265" s="155"/>
      <c r="GF265" s="155"/>
      <c r="GG265" s="155"/>
      <c r="GH265" s="155"/>
      <c r="GI265" s="155"/>
      <c r="GJ265" s="155"/>
      <c r="GK265" s="155"/>
      <c r="GL265" s="155"/>
      <c r="GM265" s="155"/>
      <c r="GN265" s="155"/>
      <c r="GO265" s="155"/>
      <c r="GP265" s="155"/>
      <c r="GQ265" s="155"/>
      <c r="GR265" s="155"/>
      <c r="GS265" s="155"/>
      <c r="GT265" s="155"/>
      <c r="GU265" s="155"/>
      <c r="GV265" s="155"/>
      <c r="GW265" s="155"/>
      <c r="GX265" s="155"/>
      <c r="GY265" s="155"/>
      <c r="GZ265" s="155"/>
      <c r="HA265" s="155"/>
      <c r="HB265" s="155"/>
      <c r="HC265" s="155"/>
      <c r="HD265" s="155"/>
      <c r="HE265" s="155"/>
      <c r="HF265" s="155"/>
      <c r="HG265" s="155"/>
      <c r="HH265" s="155"/>
      <c r="HI265" s="155"/>
      <c r="HJ265" s="155"/>
      <c r="HK265" s="155"/>
      <c r="HL265" s="155"/>
      <c r="HM265" s="155"/>
      <c r="HN265" s="155"/>
      <c r="HO265" s="155"/>
      <c r="HP265" s="155"/>
      <c r="HQ265" s="155"/>
      <c r="HR265" s="155"/>
      <c r="HS265" s="155"/>
      <c r="HT265" s="155"/>
      <c r="HU265" s="155"/>
      <c r="HV265" s="155"/>
      <c r="HW265" s="155"/>
      <c r="HX265" s="155"/>
      <c r="HY265" s="155"/>
      <c r="HZ265" s="155"/>
      <c r="IA265" s="155"/>
      <c r="IB265" s="155"/>
      <c r="IC265" s="155"/>
      <c r="ID265" s="155"/>
      <c r="IE265" s="155"/>
      <c r="IF265" s="155"/>
      <c r="IG265" s="155"/>
      <c r="IH265" s="155"/>
      <c r="II265" s="155"/>
      <c r="IJ265" s="155"/>
      <c r="IK265" s="155"/>
      <c r="IL265" s="155"/>
      <c r="IM265" s="155"/>
      <c r="IN265" s="155"/>
      <c r="IO265" s="155"/>
      <c r="IP265" s="155"/>
      <c r="IQ265" s="155"/>
      <c r="IR265" s="155"/>
      <c r="IS265" s="155"/>
      <c r="IT265" s="155"/>
      <c r="IU265" s="155"/>
      <c r="IV265" s="155"/>
    </row>
    <row r="266" spans="1:256" ht="15" customHeight="1">
      <c r="A266" s="241" t="s">
        <v>264</v>
      </c>
      <c r="B266" s="242"/>
      <c r="C266" s="248"/>
      <c r="D266" s="228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</row>
    <row r="267" spans="1:256" ht="15" customHeight="1" thickBot="1">
      <c r="A267" s="49" t="s">
        <v>51</v>
      </c>
      <c r="B267" s="49" t="s">
        <v>21</v>
      </c>
      <c r="C267" s="49" t="s">
        <v>22</v>
      </c>
      <c r="D267" s="49" t="s">
        <v>23</v>
      </c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</row>
    <row r="268" spans="1:256" ht="15" customHeight="1" thickTop="1" thickBot="1">
      <c r="A268" s="24">
        <v>1</v>
      </c>
      <c r="B268" s="7">
        <f>A268*860</f>
        <v>860</v>
      </c>
      <c r="C268" s="7">
        <f>A268*3600</f>
        <v>3600</v>
      </c>
      <c r="D268" s="26">
        <f>A268/0.293071</f>
        <v>3.4121424501230075</v>
      </c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</row>
    <row r="269" spans="1:256" ht="15" customHeight="1" thickTop="1" thickBot="1">
      <c r="A269" s="30">
        <f>B269/860</f>
        <v>1.1627906976744187</v>
      </c>
      <c r="B269" s="8">
        <v>1000</v>
      </c>
      <c r="C269" s="7">
        <f>A269*3600</f>
        <v>4186.0465116279074</v>
      </c>
      <c r="D269" s="26">
        <f>A269/0.293071</f>
        <v>3.967607500143032</v>
      </c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</row>
    <row r="270" spans="1:256" ht="15" customHeight="1" thickTop="1" thickBot="1">
      <c r="A270" s="30">
        <f>C270/3600</f>
        <v>0.27777777777777779</v>
      </c>
      <c r="B270" s="7">
        <f>A270*860</f>
        <v>238.88888888888889</v>
      </c>
      <c r="C270" s="8">
        <v>1000</v>
      </c>
      <c r="D270" s="26">
        <f>A270/0.293071</f>
        <v>0.947817347256391</v>
      </c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</row>
    <row r="271" spans="1:256" ht="15" customHeight="1" thickTop="1" thickBot="1">
      <c r="A271" s="30">
        <f>D271*0.293071</f>
        <v>0.29307100000000003</v>
      </c>
      <c r="B271" s="7">
        <f>A271*860</f>
        <v>252.04106000000002</v>
      </c>
      <c r="C271" s="7">
        <f>A271*3600</f>
        <v>1055.0556000000001</v>
      </c>
      <c r="D271" s="28">
        <v>1</v>
      </c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</row>
    <row r="272" spans="1:256" s="156" customFormat="1" ht="15" customHeight="1" thickTop="1">
      <c r="A272" s="130"/>
      <c r="B272" s="129"/>
      <c r="C272" s="129"/>
      <c r="D272" s="130"/>
      <c r="E272" s="110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  <c r="AJ272" s="155"/>
      <c r="AK272" s="155"/>
      <c r="AL272" s="155"/>
      <c r="AM272" s="155"/>
      <c r="AN272" s="155"/>
      <c r="AO272" s="155"/>
      <c r="AP272" s="155"/>
      <c r="AQ272" s="155"/>
      <c r="AR272" s="155"/>
      <c r="AS272" s="155"/>
      <c r="AT272" s="155"/>
      <c r="AU272" s="155"/>
      <c r="AV272" s="155"/>
      <c r="AW272" s="155"/>
      <c r="AX272" s="155"/>
      <c r="AY272" s="155"/>
      <c r="AZ272" s="155"/>
      <c r="BA272" s="155"/>
      <c r="BB272" s="155"/>
      <c r="BC272" s="155"/>
      <c r="BD272" s="155"/>
      <c r="BE272" s="155"/>
      <c r="BF272" s="155"/>
      <c r="BG272" s="155"/>
      <c r="BH272" s="155"/>
      <c r="BI272" s="155"/>
      <c r="BJ272" s="155"/>
      <c r="BK272" s="155"/>
      <c r="BL272" s="155"/>
      <c r="BM272" s="155"/>
      <c r="BN272" s="155"/>
      <c r="BO272" s="155"/>
      <c r="BP272" s="155"/>
      <c r="BQ272" s="155"/>
      <c r="BR272" s="155"/>
      <c r="BS272" s="155"/>
      <c r="BT272" s="155"/>
      <c r="BU272" s="155"/>
      <c r="BV272" s="155"/>
      <c r="BW272" s="155"/>
      <c r="BX272" s="155"/>
      <c r="BY272" s="155"/>
      <c r="BZ272" s="155"/>
      <c r="CA272" s="155"/>
      <c r="CB272" s="155"/>
      <c r="CC272" s="155"/>
      <c r="CD272" s="155"/>
      <c r="CE272" s="155"/>
      <c r="CF272" s="155"/>
      <c r="CG272" s="155"/>
      <c r="CH272" s="155"/>
      <c r="CI272" s="155"/>
      <c r="CJ272" s="155"/>
      <c r="CK272" s="155"/>
      <c r="CL272" s="155"/>
      <c r="CM272" s="155"/>
      <c r="CN272" s="155"/>
      <c r="CO272" s="155"/>
      <c r="CP272" s="155"/>
      <c r="CQ272" s="155"/>
      <c r="CR272" s="155"/>
      <c r="CS272" s="155"/>
      <c r="CT272" s="155"/>
      <c r="CU272" s="155"/>
      <c r="CV272" s="155"/>
      <c r="CW272" s="155"/>
      <c r="CX272" s="155"/>
      <c r="CY272" s="155"/>
      <c r="CZ272" s="155"/>
      <c r="DA272" s="155"/>
      <c r="DB272" s="155"/>
      <c r="DC272" s="155"/>
      <c r="DD272" s="155"/>
      <c r="DE272" s="155"/>
      <c r="DF272" s="155"/>
      <c r="DG272" s="155"/>
      <c r="DH272" s="155"/>
      <c r="DI272" s="155"/>
      <c r="DJ272" s="155"/>
      <c r="DK272" s="155"/>
      <c r="DL272" s="155"/>
      <c r="DM272" s="155"/>
      <c r="DN272" s="155"/>
      <c r="DO272" s="155"/>
      <c r="DP272" s="155"/>
      <c r="DQ272" s="155"/>
      <c r="DR272" s="155"/>
      <c r="DS272" s="155"/>
      <c r="DT272" s="155"/>
      <c r="DU272" s="155"/>
      <c r="DV272" s="155"/>
      <c r="DW272" s="155"/>
      <c r="DX272" s="155"/>
      <c r="DY272" s="155"/>
      <c r="DZ272" s="155"/>
      <c r="EA272" s="155"/>
      <c r="EB272" s="155"/>
      <c r="EC272" s="155"/>
      <c r="ED272" s="155"/>
      <c r="EE272" s="155"/>
      <c r="EF272" s="155"/>
      <c r="EG272" s="155"/>
      <c r="EH272" s="155"/>
      <c r="EI272" s="155"/>
      <c r="EJ272" s="155"/>
      <c r="EK272" s="155"/>
      <c r="EL272" s="155"/>
      <c r="EM272" s="155"/>
      <c r="EN272" s="155"/>
      <c r="EO272" s="155"/>
      <c r="EP272" s="155"/>
      <c r="EQ272" s="155"/>
      <c r="ER272" s="155"/>
      <c r="ES272" s="155"/>
      <c r="ET272" s="155"/>
      <c r="EU272" s="155"/>
      <c r="EV272" s="155"/>
      <c r="EW272" s="155"/>
      <c r="EX272" s="155"/>
      <c r="EY272" s="155"/>
      <c r="EZ272" s="155"/>
      <c r="FA272" s="155"/>
      <c r="FB272" s="155"/>
      <c r="FC272" s="155"/>
      <c r="FD272" s="155"/>
      <c r="FE272" s="155"/>
      <c r="FF272" s="155"/>
      <c r="FG272" s="155"/>
      <c r="FH272" s="155"/>
      <c r="FI272" s="155"/>
      <c r="FJ272" s="155"/>
      <c r="FK272" s="155"/>
      <c r="FL272" s="155"/>
      <c r="FM272" s="155"/>
      <c r="FN272" s="155"/>
      <c r="FO272" s="155"/>
      <c r="FP272" s="155"/>
      <c r="FQ272" s="155"/>
      <c r="FR272" s="155"/>
      <c r="FS272" s="155"/>
      <c r="FT272" s="155"/>
      <c r="FU272" s="155"/>
      <c r="FV272" s="155"/>
      <c r="FW272" s="155"/>
      <c r="FX272" s="155"/>
      <c r="FY272" s="155"/>
      <c r="FZ272" s="155"/>
      <c r="GA272" s="155"/>
      <c r="GB272" s="155"/>
      <c r="GC272" s="155"/>
      <c r="GD272" s="155"/>
      <c r="GE272" s="155"/>
      <c r="GF272" s="155"/>
      <c r="GG272" s="155"/>
      <c r="GH272" s="155"/>
      <c r="GI272" s="155"/>
      <c r="GJ272" s="155"/>
      <c r="GK272" s="155"/>
      <c r="GL272" s="155"/>
      <c r="GM272" s="155"/>
      <c r="GN272" s="155"/>
      <c r="GO272" s="155"/>
      <c r="GP272" s="155"/>
      <c r="GQ272" s="155"/>
      <c r="GR272" s="155"/>
      <c r="GS272" s="155"/>
      <c r="GT272" s="155"/>
      <c r="GU272" s="155"/>
      <c r="GV272" s="155"/>
      <c r="GW272" s="155"/>
      <c r="GX272" s="155"/>
      <c r="GY272" s="155"/>
      <c r="GZ272" s="155"/>
      <c r="HA272" s="155"/>
      <c r="HB272" s="155"/>
      <c r="HC272" s="155"/>
      <c r="HD272" s="155"/>
      <c r="HE272" s="155"/>
      <c r="HF272" s="155"/>
      <c r="HG272" s="155"/>
      <c r="HH272" s="155"/>
      <c r="HI272" s="155"/>
      <c r="HJ272" s="155"/>
      <c r="HK272" s="155"/>
      <c r="HL272" s="155"/>
      <c r="HM272" s="155"/>
      <c r="HN272" s="155"/>
      <c r="HO272" s="155"/>
      <c r="HP272" s="155"/>
      <c r="HQ272" s="155"/>
      <c r="HR272" s="155"/>
      <c r="HS272" s="155"/>
      <c r="HT272" s="155"/>
      <c r="HU272" s="155"/>
      <c r="HV272" s="155"/>
      <c r="HW272" s="155"/>
      <c r="HX272" s="155"/>
      <c r="HY272" s="155"/>
      <c r="HZ272" s="155"/>
      <c r="IA272" s="155"/>
      <c r="IB272" s="155"/>
      <c r="IC272" s="155"/>
      <c r="ID272" s="155"/>
      <c r="IE272" s="155"/>
      <c r="IF272" s="155"/>
      <c r="IG272" s="155"/>
      <c r="IH272" s="155"/>
      <c r="II272" s="155"/>
      <c r="IJ272" s="155"/>
      <c r="IK272" s="155"/>
      <c r="IL272" s="155"/>
      <c r="IM272" s="155"/>
      <c r="IN272" s="155"/>
      <c r="IO272" s="155"/>
      <c r="IP272" s="155"/>
      <c r="IQ272" s="155"/>
      <c r="IR272" s="155"/>
      <c r="IS272" s="155"/>
      <c r="IT272" s="155"/>
      <c r="IU272" s="155"/>
      <c r="IV272" s="155"/>
    </row>
    <row r="273" spans="1:256" ht="15" customHeight="1">
      <c r="A273" s="241" t="s">
        <v>262</v>
      </c>
      <c r="B273" s="254"/>
      <c r="C273" s="84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</row>
    <row r="274" spans="1:256" ht="15" customHeight="1" thickBot="1">
      <c r="A274" s="293" t="s">
        <v>95</v>
      </c>
      <c r="B274" s="293" t="s">
        <v>30</v>
      </c>
      <c r="C274" s="84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</row>
    <row r="275" spans="1:256" ht="15" customHeight="1" thickTop="1" thickBot="1">
      <c r="A275" s="3">
        <v>20</v>
      </c>
      <c r="B275" s="11">
        <f>A275*9/5+32</f>
        <v>68</v>
      </c>
      <c r="C275" s="84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</row>
    <row r="276" spans="1:256" ht="15" customHeight="1" thickTop="1" thickBot="1">
      <c r="A276" s="9">
        <f>(B276-32)*5/9</f>
        <v>21.111111111111111</v>
      </c>
      <c r="B276" s="3">
        <v>70</v>
      </c>
      <c r="C276" s="84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</row>
    <row r="277" spans="1:256" s="156" customFormat="1" ht="15" customHeight="1" thickTop="1">
      <c r="A277" s="97"/>
      <c r="B277" s="86"/>
      <c r="C277" s="131"/>
      <c r="D277" s="83"/>
      <c r="E277" s="83"/>
      <c r="F277" s="83"/>
      <c r="G277" s="83"/>
      <c r="H277" s="96"/>
      <c r="I277" s="96"/>
      <c r="J277" s="96"/>
      <c r="K277" s="96"/>
      <c r="L277" s="96"/>
      <c r="M277" s="96"/>
      <c r="N277" s="96"/>
      <c r="O277" s="96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  <c r="AV277" s="155"/>
      <c r="AW277" s="155"/>
      <c r="AX277" s="155"/>
      <c r="AY277" s="155"/>
      <c r="AZ277" s="155"/>
      <c r="BA277" s="155"/>
      <c r="BB277" s="155"/>
      <c r="BC277" s="155"/>
      <c r="BD277" s="155"/>
      <c r="BE277" s="155"/>
      <c r="BF277" s="155"/>
      <c r="BG277" s="155"/>
      <c r="BH277" s="155"/>
      <c r="BI277" s="155"/>
      <c r="BJ277" s="155"/>
      <c r="BK277" s="155"/>
      <c r="BL277" s="155"/>
      <c r="BM277" s="155"/>
      <c r="BN277" s="155"/>
      <c r="BO277" s="155"/>
      <c r="BP277" s="155"/>
      <c r="BQ277" s="155"/>
      <c r="BR277" s="155"/>
      <c r="BS277" s="155"/>
      <c r="BT277" s="155"/>
      <c r="BU277" s="155"/>
      <c r="BV277" s="155"/>
      <c r="BW277" s="155"/>
      <c r="BX277" s="155"/>
      <c r="BY277" s="155"/>
      <c r="BZ277" s="155"/>
      <c r="CA277" s="155"/>
      <c r="CB277" s="155"/>
      <c r="CC277" s="155"/>
      <c r="CD277" s="155"/>
      <c r="CE277" s="155"/>
      <c r="CF277" s="155"/>
      <c r="CG277" s="155"/>
      <c r="CH277" s="155"/>
      <c r="CI277" s="155"/>
      <c r="CJ277" s="155"/>
      <c r="CK277" s="155"/>
      <c r="CL277" s="155"/>
      <c r="CM277" s="155"/>
      <c r="CN277" s="155"/>
      <c r="CO277" s="155"/>
      <c r="CP277" s="155"/>
      <c r="CQ277" s="155"/>
      <c r="CR277" s="155"/>
      <c r="CS277" s="155"/>
      <c r="CT277" s="155"/>
      <c r="CU277" s="155"/>
      <c r="CV277" s="155"/>
      <c r="CW277" s="155"/>
      <c r="CX277" s="155"/>
      <c r="CY277" s="155"/>
      <c r="CZ277" s="155"/>
      <c r="DA277" s="155"/>
      <c r="DB277" s="155"/>
      <c r="DC277" s="155"/>
      <c r="DD277" s="155"/>
      <c r="DE277" s="155"/>
      <c r="DF277" s="155"/>
      <c r="DG277" s="155"/>
      <c r="DH277" s="155"/>
      <c r="DI277" s="155"/>
      <c r="DJ277" s="155"/>
      <c r="DK277" s="155"/>
      <c r="DL277" s="155"/>
      <c r="DM277" s="155"/>
      <c r="DN277" s="155"/>
      <c r="DO277" s="155"/>
      <c r="DP277" s="155"/>
      <c r="DQ277" s="155"/>
      <c r="DR277" s="155"/>
      <c r="DS277" s="155"/>
      <c r="DT277" s="155"/>
      <c r="DU277" s="155"/>
      <c r="DV277" s="155"/>
      <c r="DW277" s="155"/>
      <c r="DX277" s="155"/>
      <c r="DY277" s="155"/>
      <c r="DZ277" s="155"/>
      <c r="EA277" s="155"/>
      <c r="EB277" s="155"/>
      <c r="EC277" s="155"/>
      <c r="ED277" s="155"/>
      <c r="EE277" s="155"/>
      <c r="EF277" s="155"/>
      <c r="EG277" s="155"/>
      <c r="EH277" s="155"/>
      <c r="EI277" s="155"/>
      <c r="EJ277" s="155"/>
      <c r="EK277" s="155"/>
      <c r="EL277" s="155"/>
      <c r="EM277" s="155"/>
      <c r="EN277" s="155"/>
      <c r="EO277" s="155"/>
      <c r="EP277" s="155"/>
      <c r="EQ277" s="155"/>
      <c r="ER277" s="155"/>
      <c r="ES277" s="155"/>
      <c r="ET277" s="155"/>
      <c r="EU277" s="155"/>
      <c r="EV277" s="155"/>
      <c r="EW277" s="155"/>
      <c r="EX277" s="155"/>
      <c r="EY277" s="155"/>
      <c r="EZ277" s="155"/>
      <c r="FA277" s="155"/>
      <c r="FB277" s="155"/>
      <c r="FC277" s="155"/>
      <c r="FD277" s="155"/>
      <c r="FE277" s="155"/>
      <c r="FF277" s="155"/>
      <c r="FG277" s="155"/>
      <c r="FH277" s="155"/>
      <c r="FI277" s="155"/>
      <c r="FJ277" s="155"/>
      <c r="FK277" s="155"/>
      <c r="FL277" s="155"/>
      <c r="FM277" s="155"/>
      <c r="FN277" s="155"/>
      <c r="FO277" s="155"/>
      <c r="FP277" s="155"/>
      <c r="FQ277" s="155"/>
      <c r="FR277" s="155"/>
      <c r="FS277" s="155"/>
      <c r="FT277" s="155"/>
      <c r="FU277" s="155"/>
      <c r="FV277" s="155"/>
      <c r="FW277" s="155"/>
      <c r="FX277" s="155"/>
      <c r="FY277" s="155"/>
      <c r="FZ277" s="155"/>
      <c r="GA277" s="155"/>
      <c r="GB277" s="155"/>
      <c r="GC277" s="155"/>
      <c r="GD277" s="155"/>
      <c r="GE277" s="155"/>
      <c r="GF277" s="155"/>
      <c r="GG277" s="155"/>
      <c r="GH277" s="155"/>
      <c r="GI277" s="155"/>
      <c r="GJ277" s="155"/>
      <c r="GK277" s="155"/>
      <c r="GL277" s="155"/>
      <c r="GM277" s="155"/>
      <c r="GN277" s="155"/>
      <c r="GO277" s="155"/>
      <c r="GP277" s="155"/>
      <c r="GQ277" s="155"/>
      <c r="GR277" s="155"/>
      <c r="GS277" s="155"/>
      <c r="GT277" s="155"/>
      <c r="GU277" s="155"/>
      <c r="GV277" s="155"/>
      <c r="GW277" s="155"/>
      <c r="GX277" s="155"/>
      <c r="GY277" s="155"/>
      <c r="GZ277" s="155"/>
      <c r="HA277" s="155"/>
      <c r="HB277" s="155"/>
      <c r="HC277" s="155"/>
      <c r="HD277" s="155"/>
      <c r="HE277" s="155"/>
      <c r="HF277" s="155"/>
      <c r="HG277" s="155"/>
      <c r="HH277" s="155"/>
      <c r="HI277" s="155"/>
      <c r="HJ277" s="155"/>
      <c r="HK277" s="155"/>
      <c r="HL277" s="155"/>
      <c r="HM277" s="155"/>
      <c r="HN277" s="155"/>
      <c r="HO277" s="155"/>
      <c r="HP277" s="155"/>
      <c r="HQ277" s="155"/>
      <c r="HR277" s="155"/>
      <c r="HS277" s="155"/>
      <c r="HT277" s="155"/>
      <c r="HU277" s="155"/>
      <c r="HV277" s="155"/>
      <c r="HW277" s="155"/>
      <c r="HX277" s="155"/>
      <c r="HY277" s="155"/>
      <c r="HZ277" s="155"/>
      <c r="IA277" s="155"/>
      <c r="IB277" s="155"/>
      <c r="IC277" s="155"/>
      <c r="ID277" s="155"/>
      <c r="IE277" s="155"/>
      <c r="IF277" s="155"/>
      <c r="IG277" s="155"/>
      <c r="IH277" s="155"/>
      <c r="II277" s="155"/>
      <c r="IJ277" s="155"/>
      <c r="IK277" s="155"/>
      <c r="IL277" s="155"/>
      <c r="IM277" s="155"/>
      <c r="IN277" s="155"/>
      <c r="IO277" s="155"/>
      <c r="IP277" s="155"/>
      <c r="IQ277" s="155"/>
      <c r="IR277" s="155"/>
      <c r="IS277" s="155"/>
      <c r="IT277" s="155"/>
      <c r="IU277" s="155"/>
      <c r="IV277" s="155"/>
    </row>
    <row r="278" spans="1:256" ht="15" customHeight="1">
      <c r="A278" s="241" t="s">
        <v>31</v>
      </c>
      <c r="B278" s="294"/>
      <c r="C278" s="84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</row>
    <row r="279" spans="1:256" ht="15" customHeight="1">
      <c r="A279" s="295" t="s">
        <v>96</v>
      </c>
      <c r="B279" s="49" t="s">
        <v>104</v>
      </c>
      <c r="C279" s="84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</row>
    <row r="280" spans="1:256" ht="15" customHeight="1" thickBot="1">
      <c r="A280" s="159" t="s">
        <v>34</v>
      </c>
      <c r="B280" s="159" t="s">
        <v>40</v>
      </c>
      <c r="C280" s="84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</row>
    <row r="281" spans="1:256" ht="15" customHeight="1" thickTop="1" thickBot="1">
      <c r="A281" s="6">
        <v>3.14</v>
      </c>
      <c r="B281" s="9">
        <f>2*SQRT(A281/3.1416)</f>
        <v>1.9994906405112862</v>
      </c>
      <c r="C281" s="84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</row>
    <row r="282" spans="1:256" ht="15" customHeight="1" thickTop="1" thickBot="1">
      <c r="A282" s="9">
        <f>B282*B282*3.1416/4</f>
        <v>3.1415999999999999</v>
      </c>
      <c r="B282" s="6">
        <v>2</v>
      </c>
      <c r="C282" s="84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</row>
    <row r="283" spans="1:256" ht="15" customHeight="1" thickTop="1">
      <c r="A283" s="97"/>
      <c r="B283" s="115"/>
      <c r="C283" s="84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</row>
    <row r="284" spans="1:256" ht="15" customHeight="1">
      <c r="A284" s="296" t="s">
        <v>333</v>
      </c>
      <c r="B284" s="38"/>
      <c r="C284" s="38"/>
      <c r="D284" s="38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</row>
    <row r="285" spans="1:256" ht="15" customHeight="1">
      <c r="A285" s="295" t="s">
        <v>96</v>
      </c>
      <c r="B285" s="49" t="s">
        <v>168</v>
      </c>
      <c r="C285" s="49" t="s">
        <v>335</v>
      </c>
      <c r="D285" s="49" t="s">
        <v>336</v>
      </c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</row>
    <row r="286" spans="1:256" ht="15" customHeight="1" thickBot="1">
      <c r="A286" s="159" t="s">
        <v>34</v>
      </c>
      <c r="B286" s="159" t="s">
        <v>334</v>
      </c>
      <c r="C286" s="159" t="s">
        <v>40</v>
      </c>
      <c r="D286" s="159" t="s">
        <v>40</v>
      </c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</row>
    <row r="287" spans="1:256" ht="15" customHeight="1" thickTop="1" thickBot="1">
      <c r="A287" s="297">
        <f>+C287*C287*0.433</f>
        <v>3.8969999999999998</v>
      </c>
      <c r="B287" s="160">
        <v>3</v>
      </c>
      <c r="C287" s="6">
        <v>3</v>
      </c>
      <c r="D287" s="297">
        <f>+C287*0.288</f>
        <v>0.86399999999999988</v>
      </c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</row>
    <row r="288" spans="1:256" ht="15" customHeight="1" thickTop="1" thickBot="1">
      <c r="A288" s="297">
        <f>+C288*C288*1</f>
        <v>9</v>
      </c>
      <c r="B288" s="160">
        <v>4</v>
      </c>
      <c r="C288" s="6">
        <v>3</v>
      </c>
      <c r="D288" s="297">
        <f>+C288*0.5</f>
        <v>1.5</v>
      </c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</row>
    <row r="289" spans="1:256" ht="15" customHeight="1" thickTop="1" thickBot="1">
      <c r="A289" s="297">
        <f>+C289*C289*1.72</f>
        <v>15.48</v>
      </c>
      <c r="B289" s="160">
        <v>5</v>
      </c>
      <c r="C289" s="6">
        <v>3</v>
      </c>
      <c r="D289" s="297">
        <f>+C289*0.688</f>
        <v>2.0640000000000001</v>
      </c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</row>
    <row r="290" spans="1:256" ht="15" customHeight="1" thickTop="1" thickBot="1">
      <c r="A290" s="297">
        <f>+C290*C290*2.598</f>
        <v>23.381999999999998</v>
      </c>
      <c r="B290" s="160">
        <v>6</v>
      </c>
      <c r="C290" s="6">
        <v>3</v>
      </c>
      <c r="D290" s="297">
        <f>+C290*0.866</f>
        <v>2.5979999999999999</v>
      </c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</row>
    <row r="291" spans="1:256" ht="15" customHeight="1" thickTop="1" thickBot="1">
      <c r="A291" s="297">
        <f>+C291*C291*3.634</f>
        <v>32.705999999999996</v>
      </c>
      <c r="B291" s="160">
        <v>7</v>
      </c>
      <c r="C291" s="6">
        <v>3</v>
      </c>
      <c r="D291" s="297">
        <f>+C291*1.038</f>
        <v>3.1139999999999999</v>
      </c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</row>
    <row r="292" spans="1:256" ht="15" customHeight="1" thickTop="1" thickBot="1">
      <c r="A292" s="297">
        <f>+C292*C292*4.828</f>
        <v>43.452000000000005</v>
      </c>
      <c r="B292" s="160">
        <v>8</v>
      </c>
      <c r="C292" s="6">
        <v>3</v>
      </c>
      <c r="D292" s="297">
        <f>+C292*1.207</f>
        <v>3.6210000000000004</v>
      </c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</row>
    <row r="293" spans="1:256" ht="15" customHeight="1" thickTop="1" thickBot="1">
      <c r="A293" s="297">
        <f>+C293*C293*6.182</f>
        <v>55.638000000000005</v>
      </c>
      <c r="B293" s="160">
        <v>9</v>
      </c>
      <c r="C293" s="6">
        <v>3</v>
      </c>
      <c r="D293" s="297">
        <f>+C293*1.374</f>
        <v>4.1219999999999999</v>
      </c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</row>
    <row r="294" spans="1:256" ht="15" customHeight="1" thickTop="1" thickBot="1">
      <c r="A294" s="297">
        <f>+C294*C294*7.694</f>
        <v>69.245999999999995</v>
      </c>
      <c r="B294" s="160">
        <v>10</v>
      </c>
      <c r="C294" s="6">
        <v>3</v>
      </c>
      <c r="D294" s="297">
        <f>+C294*1.539</f>
        <v>4.617</v>
      </c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</row>
    <row r="295" spans="1:256" s="156" customFormat="1" ht="15" customHeight="1" thickTop="1">
      <c r="A295" s="97"/>
      <c r="B295" s="88"/>
      <c r="C295" s="131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  <c r="AA295" s="155"/>
      <c r="AB295" s="155"/>
      <c r="AC295" s="155"/>
      <c r="AD295" s="155"/>
      <c r="AE295" s="155"/>
      <c r="AF295" s="155"/>
      <c r="AG295" s="155"/>
      <c r="AH295" s="155"/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  <c r="AV295" s="155"/>
      <c r="AW295" s="155"/>
      <c r="AX295" s="155"/>
      <c r="AY295" s="155"/>
      <c r="AZ295" s="155"/>
      <c r="BA295" s="155"/>
      <c r="BB295" s="155"/>
      <c r="BC295" s="155"/>
      <c r="BD295" s="155"/>
      <c r="BE295" s="155"/>
      <c r="BF295" s="155"/>
      <c r="BG295" s="155"/>
      <c r="BH295" s="155"/>
      <c r="BI295" s="155"/>
      <c r="BJ295" s="155"/>
      <c r="BK295" s="155"/>
      <c r="BL295" s="155"/>
      <c r="BM295" s="155"/>
      <c r="BN295" s="155"/>
      <c r="BO295" s="155"/>
      <c r="BP295" s="155"/>
      <c r="BQ295" s="155"/>
      <c r="BR295" s="155"/>
      <c r="BS295" s="155"/>
      <c r="BT295" s="155"/>
      <c r="BU295" s="155"/>
      <c r="BV295" s="155"/>
      <c r="BW295" s="155"/>
      <c r="BX295" s="155"/>
      <c r="BY295" s="155"/>
      <c r="BZ295" s="155"/>
      <c r="CA295" s="155"/>
      <c r="CB295" s="155"/>
      <c r="CC295" s="155"/>
      <c r="CD295" s="155"/>
      <c r="CE295" s="155"/>
      <c r="CF295" s="155"/>
      <c r="CG295" s="155"/>
      <c r="CH295" s="155"/>
      <c r="CI295" s="155"/>
      <c r="CJ295" s="155"/>
      <c r="CK295" s="155"/>
      <c r="CL295" s="155"/>
      <c r="CM295" s="155"/>
      <c r="CN295" s="155"/>
      <c r="CO295" s="155"/>
      <c r="CP295" s="155"/>
      <c r="CQ295" s="155"/>
      <c r="CR295" s="155"/>
      <c r="CS295" s="155"/>
      <c r="CT295" s="155"/>
      <c r="CU295" s="155"/>
      <c r="CV295" s="155"/>
      <c r="CW295" s="155"/>
      <c r="CX295" s="155"/>
      <c r="CY295" s="155"/>
      <c r="CZ295" s="155"/>
      <c r="DA295" s="155"/>
      <c r="DB295" s="155"/>
      <c r="DC295" s="155"/>
      <c r="DD295" s="155"/>
      <c r="DE295" s="155"/>
      <c r="DF295" s="155"/>
      <c r="DG295" s="155"/>
      <c r="DH295" s="155"/>
      <c r="DI295" s="155"/>
      <c r="DJ295" s="155"/>
      <c r="DK295" s="155"/>
      <c r="DL295" s="155"/>
      <c r="DM295" s="155"/>
      <c r="DN295" s="155"/>
      <c r="DO295" s="155"/>
      <c r="DP295" s="155"/>
      <c r="DQ295" s="155"/>
      <c r="DR295" s="155"/>
      <c r="DS295" s="155"/>
      <c r="DT295" s="155"/>
      <c r="DU295" s="155"/>
      <c r="DV295" s="155"/>
      <c r="DW295" s="155"/>
      <c r="DX295" s="155"/>
      <c r="DY295" s="155"/>
      <c r="DZ295" s="155"/>
      <c r="EA295" s="155"/>
      <c r="EB295" s="155"/>
      <c r="EC295" s="155"/>
      <c r="ED295" s="155"/>
      <c r="EE295" s="155"/>
      <c r="EF295" s="155"/>
      <c r="EG295" s="155"/>
      <c r="EH295" s="155"/>
      <c r="EI295" s="155"/>
      <c r="EJ295" s="155"/>
      <c r="EK295" s="155"/>
      <c r="EL295" s="155"/>
      <c r="EM295" s="155"/>
      <c r="EN295" s="155"/>
      <c r="EO295" s="155"/>
      <c r="EP295" s="155"/>
      <c r="EQ295" s="155"/>
      <c r="ER295" s="155"/>
      <c r="ES295" s="155"/>
      <c r="ET295" s="155"/>
      <c r="EU295" s="155"/>
      <c r="EV295" s="155"/>
      <c r="EW295" s="155"/>
      <c r="EX295" s="155"/>
      <c r="EY295" s="155"/>
      <c r="EZ295" s="155"/>
      <c r="FA295" s="155"/>
      <c r="FB295" s="155"/>
      <c r="FC295" s="155"/>
      <c r="FD295" s="155"/>
      <c r="FE295" s="155"/>
      <c r="FF295" s="155"/>
      <c r="FG295" s="155"/>
      <c r="FH295" s="155"/>
      <c r="FI295" s="155"/>
      <c r="FJ295" s="155"/>
      <c r="FK295" s="155"/>
      <c r="FL295" s="155"/>
      <c r="FM295" s="155"/>
      <c r="FN295" s="155"/>
      <c r="FO295" s="155"/>
      <c r="FP295" s="155"/>
      <c r="FQ295" s="155"/>
      <c r="FR295" s="155"/>
      <c r="FS295" s="155"/>
      <c r="FT295" s="155"/>
      <c r="FU295" s="155"/>
      <c r="FV295" s="155"/>
      <c r="FW295" s="155"/>
      <c r="FX295" s="155"/>
      <c r="FY295" s="155"/>
      <c r="FZ295" s="155"/>
      <c r="GA295" s="155"/>
      <c r="GB295" s="155"/>
      <c r="GC295" s="155"/>
      <c r="GD295" s="155"/>
      <c r="GE295" s="155"/>
      <c r="GF295" s="155"/>
      <c r="GG295" s="155"/>
      <c r="GH295" s="155"/>
      <c r="GI295" s="155"/>
      <c r="GJ295" s="155"/>
      <c r="GK295" s="155"/>
      <c r="GL295" s="155"/>
      <c r="GM295" s="155"/>
      <c r="GN295" s="155"/>
      <c r="GO295" s="155"/>
      <c r="GP295" s="155"/>
      <c r="GQ295" s="155"/>
      <c r="GR295" s="155"/>
      <c r="GS295" s="155"/>
      <c r="GT295" s="155"/>
      <c r="GU295" s="155"/>
      <c r="GV295" s="155"/>
      <c r="GW295" s="155"/>
      <c r="GX295" s="155"/>
      <c r="GY295" s="155"/>
      <c r="GZ295" s="155"/>
      <c r="HA295" s="155"/>
      <c r="HB295" s="155"/>
      <c r="HC295" s="155"/>
      <c r="HD295" s="155"/>
      <c r="HE295" s="155"/>
      <c r="HF295" s="155"/>
      <c r="HG295" s="155"/>
      <c r="HH295" s="155"/>
      <c r="HI295" s="155"/>
      <c r="HJ295" s="155"/>
      <c r="HK295" s="155"/>
      <c r="HL295" s="155"/>
      <c r="HM295" s="155"/>
      <c r="HN295" s="155"/>
      <c r="HO295" s="155"/>
      <c r="HP295" s="155"/>
      <c r="HQ295" s="155"/>
      <c r="HR295" s="155"/>
      <c r="HS295" s="155"/>
      <c r="HT295" s="155"/>
      <c r="HU295" s="155"/>
      <c r="HV295" s="155"/>
      <c r="HW295" s="155"/>
      <c r="HX295" s="155"/>
      <c r="HY295" s="155"/>
      <c r="HZ295" s="155"/>
      <c r="IA295" s="155"/>
      <c r="IB295" s="155"/>
      <c r="IC295" s="155"/>
      <c r="ID295" s="155"/>
      <c r="IE295" s="155"/>
      <c r="IF295" s="155"/>
      <c r="IG295" s="155"/>
      <c r="IH295" s="155"/>
      <c r="II295" s="155"/>
      <c r="IJ295" s="155"/>
      <c r="IK295" s="155"/>
      <c r="IL295" s="155"/>
      <c r="IM295" s="155"/>
      <c r="IN295" s="155"/>
      <c r="IO295" s="155"/>
      <c r="IP295" s="155"/>
      <c r="IQ295" s="155"/>
      <c r="IR295" s="155"/>
      <c r="IS295" s="155"/>
      <c r="IT295" s="155"/>
      <c r="IU295" s="155"/>
      <c r="IV295" s="155"/>
    </row>
    <row r="296" spans="1:256" ht="16" customHeight="1">
      <c r="A296" s="298" t="s">
        <v>275</v>
      </c>
      <c r="B296" s="299"/>
      <c r="C296" s="300"/>
      <c r="D296" s="227"/>
      <c r="E296" s="248"/>
      <c r="F296" s="301"/>
      <c r="G296" s="51" t="s">
        <v>32</v>
      </c>
      <c r="H296" s="49"/>
      <c r="I296" s="51" t="s">
        <v>32</v>
      </c>
      <c r="J296" s="83"/>
      <c r="K296" s="83"/>
      <c r="L296" s="83"/>
      <c r="M296" s="83"/>
      <c r="N296" s="83"/>
      <c r="O296" s="83"/>
    </row>
    <row r="297" spans="1:256" ht="16" customHeight="1">
      <c r="A297" s="50"/>
      <c r="B297" s="50"/>
      <c r="C297" s="50"/>
      <c r="D297" s="50"/>
      <c r="E297" s="50"/>
      <c r="F297" s="54" t="s">
        <v>191</v>
      </c>
      <c r="G297" s="55" t="s">
        <v>124</v>
      </c>
      <c r="H297" s="55"/>
      <c r="I297" s="55" t="s">
        <v>124</v>
      </c>
      <c r="J297" s="83"/>
      <c r="K297" s="83"/>
      <c r="L297" s="83"/>
      <c r="M297" s="83"/>
      <c r="N297" s="83"/>
      <c r="O297" s="83"/>
    </row>
    <row r="298" spans="1:256" ht="16" customHeight="1">
      <c r="A298" s="56" t="s">
        <v>17</v>
      </c>
      <c r="B298" s="56" t="s">
        <v>17</v>
      </c>
      <c r="C298" s="56" t="s">
        <v>121</v>
      </c>
      <c r="D298" s="53" t="s">
        <v>6</v>
      </c>
      <c r="E298" s="53" t="s">
        <v>122</v>
      </c>
      <c r="F298" s="53" t="s">
        <v>123</v>
      </c>
      <c r="G298" s="55" t="s">
        <v>126</v>
      </c>
      <c r="H298" s="55" t="s">
        <v>127</v>
      </c>
      <c r="I298" s="55" t="s">
        <v>125</v>
      </c>
      <c r="J298" s="83"/>
      <c r="K298" s="83"/>
      <c r="L298" s="83"/>
      <c r="M298" s="83"/>
      <c r="N298" s="83"/>
      <c r="O298" s="83"/>
    </row>
    <row r="299" spans="1:256" ht="16" customHeight="1" thickBot="1">
      <c r="A299" s="302" t="s">
        <v>192</v>
      </c>
      <c r="B299" s="57" t="s">
        <v>18</v>
      </c>
      <c r="C299" s="57" t="s">
        <v>5</v>
      </c>
      <c r="D299" s="57" t="s">
        <v>6</v>
      </c>
      <c r="E299" s="57" t="s">
        <v>4</v>
      </c>
      <c r="F299" s="57" t="s">
        <v>35</v>
      </c>
      <c r="G299" s="58" t="s">
        <v>34</v>
      </c>
      <c r="H299" s="58" t="s">
        <v>128</v>
      </c>
      <c r="I299" s="58" t="s">
        <v>34</v>
      </c>
      <c r="J299" s="83"/>
      <c r="K299" s="83"/>
      <c r="L299" s="83"/>
      <c r="M299" s="83"/>
      <c r="N299" s="83"/>
      <c r="O299" s="83"/>
    </row>
    <row r="300" spans="1:256" s="157" customFormat="1" ht="16" customHeight="1" thickTop="1" thickBot="1">
      <c r="A300" s="144">
        <v>4</v>
      </c>
      <c r="B300" s="31">
        <f>+A300/0.746</f>
        <v>5.3619302949061662</v>
      </c>
      <c r="C300" s="32">
        <v>400</v>
      </c>
      <c r="D300" s="24">
        <v>0.9</v>
      </c>
      <c r="E300" s="30">
        <f>+A300*1000/(1.73*C300*D300)</f>
        <v>6.4226075786769421</v>
      </c>
      <c r="F300" s="32">
        <v>2.5</v>
      </c>
      <c r="G300" s="9">
        <f>+E300/F300</f>
        <v>2.5690430314707768</v>
      </c>
      <c r="H300" s="33" t="s">
        <v>37</v>
      </c>
      <c r="I300" s="11">
        <f>VLOOKUP(G300,A314:B331,2,TRUE)</f>
        <v>4</v>
      </c>
      <c r="J300" s="83"/>
      <c r="K300" s="83"/>
      <c r="L300" s="84"/>
      <c r="M300" s="83"/>
      <c r="N300" s="83"/>
      <c r="O300" s="83"/>
      <c r="P300" s="153"/>
    </row>
    <row r="301" spans="1:256" s="157" customFormat="1" ht="16" customHeight="1" thickTop="1" thickBot="1">
      <c r="A301" s="31">
        <f>+B301*0.746</f>
        <v>74.599999999999994</v>
      </c>
      <c r="B301" s="144">
        <v>100</v>
      </c>
      <c r="C301" s="32">
        <v>400</v>
      </c>
      <c r="D301" s="24">
        <v>0.9</v>
      </c>
      <c r="E301" s="30">
        <f>+A301*1000/(1.73*C301*D301)</f>
        <v>119.78163134232497</v>
      </c>
      <c r="F301" s="32">
        <v>2.5</v>
      </c>
      <c r="G301" s="9">
        <f>+E301/F301</f>
        <v>47.91265253692999</v>
      </c>
      <c r="H301" s="33" t="s">
        <v>37</v>
      </c>
      <c r="I301" s="11">
        <f>VLOOKUP(G301,A314:B331,2,TRUE)</f>
        <v>50</v>
      </c>
      <c r="J301" s="83"/>
      <c r="K301" s="83"/>
      <c r="L301" s="84"/>
      <c r="M301" s="84"/>
      <c r="N301" s="84"/>
      <c r="O301" s="84"/>
    </row>
    <row r="302" spans="1:256" s="158" customFormat="1" ht="16" customHeight="1" thickTop="1">
      <c r="A302" s="135"/>
      <c r="B302" s="133"/>
      <c r="C302" s="134"/>
      <c r="D302" s="122"/>
      <c r="E302" s="89"/>
      <c r="F302" s="134"/>
      <c r="G302" s="97"/>
      <c r="H302" s="132"/>
      <c r="I302" s="112"/>
      <c r="J302" s="96"/>
      <c r="K302" s="96"/>
      <c r="L302" s="131"/>
      <c r="M302" s="131"/>
      <c r="N302" s="131"/>
      <c r="O302" s="131"/>
    </row>
    <row r="303" spans="1:256" s="157" customFormat="1" ht="16" customHeight="1">
      <c r="A303" s="298" t="s">
        <v>175</v>
      </c>
      <c r="B303" s="248"/>
      <c r="C303" s="248"/>
      <c r="D303" s="248"/>
      <c r="E303" s="248"/>
      <c r="F303" s="151"/>
      <c r="G303" s="248"/>
      <c r="H303" s="248"/>
      <c r="I303" s="248"/>
      <c r="J303" s="248"/>
      <c r="K303" s="248"/>
      <c r="L303" s="248"/>
      <c r="M303" s="303"/>
      <c r="N303" s="304" t="s">
        <v>176</v>
      </c>
      <c r="O303" s="84"/>
    </row>
    <row r="304" spans="1:256" s="157" customFormat="1" ht="16" customHeight="1">
      <c r="A304" s="49" t="s">
        <v>86</v>
      </c>
      <c r="B304" s="49" t="s">
        <v>17</v>
      </c>
      <c r="C304" s="50" t="s">
        <v>121</v>
      </c>
      <c r="D304" s="51" t="s">
        <v>6</v>
      </c>
      <c r="E304" s="51" t="s">
        <v>122</v>
      </c>
      <c r="F304" s="49" t="s">
        <v>184</v>
      </c>
      <c r="G304" s="49" t="s">
        <v>181</v>
      </c>
      <c r="H304" s="49" t="s">
        <v>29</v>
      </c>
      <c r="I304" s="49" t="s">
        <v>181</v>
      </c>
      <c r="J304" s="51" t="s">
        <v>32</v>
      </c>
      <c r="K304" s="49" t="s">
        <v>276</v>
      </c>
      <c r="L304" s="49" t="s">
        <v>60</v>
      </c>
      <c r="M304" s="49" t="s">
        <v>181</v>
      </c>
      <c r="N304" s="49" t="s">
        <v>121</v>
      </c>
      <c r="O304" s="84"/>
    </row>
    <row r="305" spans="1:15" s="157" customFormat="1" ht="16" customHeight="1">
      <c r="A305" s="52"/>
      <c r="B305" s="52"/>
      <c r="C305" s="52"/>
      <c r="D305" s="52"/>
      <c r="E305" s="52"/>
      <c r="F305" s="52" t="s">
        <v>182</v>
      </c>
      <c r="G305" s="52" t="s">
        <v>186</v>
      </c>
      <c r="H305" s="52" t="s">
        <v>185</v>
      </c>
      <c r="I305" s="52" t="s">
        <v>182</v>
      </c>
      <c r="J305" s="53" t="s">
        <v>124</v>
      </c>
      <c r="K305" s="52" t="s">
        <v>277</v>
      </c>
      <c r="L305" s="52" t="s">
        <v>177</v>
      </c>
      <c r="M305" s="52" t="s">
        <v>189</v>
      </c>
      <c r="N305" s="52" t="s">
        <v>190</v>
      </c>
      <c r="O305" s="84"/>
    </row>
    <row r="306" spans="1:15" s="157" customFormat="1" ht="16" customHeight="1" thickBot="1">
      <c r="A306" s="49"/>
      <c r="B306" s="49" t="s">
        <v>192</v>
      </c>
      <c r="C306" s="50" t="s">
        <v>5</v>
      </c>
      <c r="D306" s="50" t="s">
        <v>6</v>
      </c>
      <c r="E306" s="50" t="s">
        <v>4</v>
      </c>
      <c r="F306" s="49" t="s">
        <v>183</v>
      </c>
      <c r="G306" s="49" t="s">
        <v>187</v>
      </c>
      <c r="H306" s="49" t="s">
        <v>72</v>
      </c>
      <c r="I306" s="49" t="s">
        <v>183</v>
      </c>
      <c r="J306" s="51" t="s">
        <v>34</v>
      </c>
      <c r="K306" s="57" t="s">
        <v>35</v>
      </c>
      <c r="L306" s="51" t="s">
        <v>36</v>
      </c>
      <c r="M306" s="49" t="s">
        <v>188</v>
      </c>
      <c r="N306" s="51" t="s">
        <v>5</v>
      </c>
      <c r="O306" s="84"/>
    </row>
    <row r="307" spans="1:15" s="157" customFormat="1" ht="16" customHeight="1" thickTop="1" thickBot="1">
      <c r="A307" s="35" t="s">
        <v>180</v>
      </c>
      <c r="B307" s="28">
        <v>0.1</v>
      </c>
      <c r="C307" s="3">
        <v>12</v>
      </c>
      <c r="D307" s="34">
        <v>1</v>
      </c>
      <c r="E307" s="30">
        <f>+B307*1000/(C307*D307)</f>
        <v>8.3333333333333339</v>
      </c>
      <c r="F307" s="35">
        <v>1.6E-2</v>
      </c>
      <c r="G307" s="35">
        <v>4.3E-3</v>
      </c>
      <c r="H307" s="3">
        <v>30</v>
      </c>
      <c r="I307" s="36">
        <f>+F307*(1+G307*H307)</f>
        <v>1.8064E-2</v>
      </c>
      <c r="J307" s="3">
        <v>2.5</v>
      </c>
      <c r="K307" s="143">
        <f>IF(+(E307/J307)&lt;4,+(E307/J307),"cavo piccolo")</f>
        <v>3.3333333333333335</v>
      </c>
      <c r="L307" s="3">
        <v>5</v>
      </c>
      <c r="M307" s="36">
        <f>+I307*L307/J307</f>
        <v>3.6128E-2</v>
      </c>
      <c r="N307" s="9">
        <f>2*M307*E307</f>
        <v>0.60213333333333341</v>
      </c>
      <c r="O307" s="37" t="str">
        <f>+A307</f>
        <v>continua</v>
      </c>
    </row>
    <row r="308" spans="1:15" s="157" customFormat="1" ht="16" customHeight="1" thickTop="1" thickBot="1">
      <c r="A308" s="35" t="s">
        <v>179</v>
      </c>
      <c r="B308" s="28">
        <v>0.85</v>
      </c>
      <c r="C308" s="3">
        <v>230</v>
      </c>
      <c r="D308" s="24">
        <v>0.85</v>
      </c>
      <c r="E308" s="30">
        <f>+B308*1000/(C308*D308)</f>
        <v>4.3478260869565215</v>
      </c>
      <c r="F308" s="35">
        <v>1.6E-2</v>
      </c>
      <c r="G308" s="35">
        <v>4.3E-3</v>
      </c>
      <c r="H308" s="3">
        <v>20</v>
      </c>
      <c r="I308" s="36">
        <f>+F308*(1+G308*H308)</f>
        <v>1.7376000000000003E-2</v>
      </c>
      <c r="J308" s="3">
        <v>2.5</v>
      </c>
      <c r="K308" s="143">
        <f t="shared" ref="K308:K309" si="23">IF(+(E308/J308)&lt;4,+(E308/J308),"cavo piccolo")</f>
        <v>1.7391304347826086</v>
      </c>
      <c r="L308" s="3">
        <v>165</v>
      </c>
      <c r="M308" s="36">
        <f>+I308*L308/J308</f>
        <v>1.1468160000000001</v>
      </c>
      <c r="N308" s="9">
        <f>2*M308*E308*D308</f>
        <v>8.4764660869565223</v>
      </c>
      <c r="O308" s="37" t="str">
        <f>+A308</f>
        <v>monofase</v>
      </c>
    </row>
    <row r="309" spans="1:15" s="157" customFormat="1" ht="16" customHeight="1" thickTop="1" thickBot="1">
      <c r="A309" s="35" t="s">
        <v>178</v>
      </c>
      <c r="B309" s="3">
        <v>100</v>
      </c>
      <c r="C309" s="3">
        <v>400</v>
      </c>
      <c r="D309" s="24">
        <v>0.85</v>
      </c>
      <c r="E309" s="30">
        <f>+B309*1000/(1.73*C309*D309)</f>
        <v>170.01020061203675</v>
      </c>
      <c r="F309" s="35">
        <v>1.6E-2</v>
      </c>
      <c r="G309" s="35">
        <v>4.3E-3</v>
      </c>
      <c r="H309" s="3">
        <v>40</v>
      </c>
      <c r="I309" s="36">
        <f>+F309*(1+G309*H309)</f>
        <v>1.8751999999999998E-2</v>
      </c>
      <c r="J309" s="3">
        <v>50</v>
      </c>
      <c r="K309" s="143">
        <f t="shared" si="23"/>
        <v>3.4002040122407351</v>
      </c>
      <c r="L309" s="3">
        <v>100</v>
      </c>
      <c r="M309" s="36">
        <f>+I309*L309/J309</f>
        <v>3.7503999999999996E-2</v>
      </c>
      <c r="N309" s="9">
        <f>1.73*2*M309*E309*D309</f>
        <v>18.751999999999999</v>
      </c>
      <c r="O309" s="37" t="str">
        <f>+A309</f>
        <v>trifase</v>
      </c>
    </row>
    <row r="310" spans="1:15" s="158" customFormat="1" ht="16" customHeight="1" thickTop="1" thickBot="1">
      <c r="A310" s="100"/>
      <c r="B310" s="86"/>
      <c r="C310" s="110"/>
      <c r="D310" s="137"/>
      <c r="E310" s="130"/>
      <c r="F310" s="131"/>
      <c r="G310" s="131"/>
      <c r="H310" s="110"/>
      <c r="I310" s="136"/>
      <c r="J310" s="110"/>
      <c r="K310" s="110"/>
      <c r="L310" s="136"/>
      <c r="M310" s="115"/>
      <c r="N310" s="138"/>
      <c r="O310" s="131"/>
    </row>
    <row r="311" spans="1:15" s="158" customFormat="1" ht="16" customHeight="1" thickTop="1">
      <c r="A311" s="305" t="s">
        <v>128</v>
      </c>
      <c r="B311" s="306"/>
      <c r="C311" s="110"/>
      <c r="D311" s="137"/>
      <c r="E311" s="130"/>
      <c r="F311" s="131"/>
      <c r="G311" s="131"/>
      <c r="H311" s="110"/>
      <c r="I311" s="136"/>
      <c r="J311" s="110"/>
      <c r="K311" s="110"/>
      <c r="L311" s="136"/>
      <c r="M311" s="115"/>
      <c r="N311" s="138"/>
      <c r="O311" s="131"/>
    </row>
    <row r="312" spans="1:15" ht="16" customHeight="1">
      <c r="A312" s="307" t="s">
        <v>278</v>
      </c>
      <c r="B312" s="308" t="s">
        <v>222</v>
      </c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</row>
    <row r="313" spans="1:15" ht="16" customHeight="1">
      <c r="A313" s="309" t="s">
        <v>124</v>
      </c>
      <c r="B313" s="310" t="s">
        <v>344</v>
      </c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</row>
    <row r="314" spans="1:15" ht="15" customHeight="1">
      <c r="A314" s="311">
        <v>0</v>
      </c>
      <c r="B314" s="312">
        <v>0.75</v>
      </c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</row>
    <row r="315" spans="1:15" ht="15" customHeight="1">
      <c r="A315" s="313">
        <v>0.75</v>
      </c>
      <c r="B315" s="312">
        <v>1</v>
      </c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</row>
    <row r="316" spans="1:15" ht="15" customHeight="1">
      <c r="A316" s="313">
        <v>1</v>
      </c>
      <c r="B316" s="312">
        <v>1.5</v>
      </c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</row>
    <row r="317" spans="1:15" ht="15" customHeight="1">
      <c r="A317" s="313">
        <v>1.5</v>
      </c>
      <c r="B317" s="312">
        <v>2.5</v>
      </c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</row>
    <row r="318" spans="1:15" ht="15" customHeight="1">
      <c r="A318" s="313">
        <v>2.5</v>
      </c>
      <c r="B318" s="312">
        <v>4</v>
      </c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</row>
    <row r="319" spans="1:15" ht="15" customHeight="1">
      <c r="A319" s="313">
        <v>4</v>
      </c>
      <c r="B319" s="312">
        <v>6</v>
      </c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</row>
    <row r="320" spans="1:15" ht="15" customHeight="1">
      <c r="A320" s="313">
        <v>6</v>
      </c>
      <c r="B320" s="312">
        <v>10</v>
      </c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</row>
    <row r="321" spans="1:256" ht="15" customHeight="1">
      <c r="A321" s="313">
        <v>10</v>
      </c>
      <c r="B321" s="312">
        <v>16</v>
      </c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</row>
    <row r="322" spans="1:256" ht="15" customHeight="1">
      <c r="A322" s="313">
        <v>16</v>
      </c>
      <c r="B322" s="312">
        <v>25</v>
      </c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</row>
    <row r="323" spans="1:256" ht="15" customHeight="1">
      <c r="A323" s="313">
        <v>25</v>
      </c>
      <c r="B323" s="312">
        <v>35</v>
      </c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</row>
    <row r="324" spans="1:256" ht="15" customHeight="1">
      <c r="A324" s="313">
        <v>35</v>
      </c>
      <c r="B324" s="312">
        <v>35</v>
      </c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</row>
    <row r="325" spans="1:256" ht="15" customHeight="1">
      <c r="A325" s="313">
        <v>35</v>
      </c>
      <c r="B325" s="312">
        <v>50</v>
      </c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</row>
    <row r="326" spans="1:256" ht="15" customHeight="1">
      <c r="A326" s="313">
        <v>50</v>
      </c>
      <c r="B326" s="312">
        <v>70</v>
      </c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</row>
    <row r="327" spans="1:256" ht="15" customHeight="1">
      <c r="A327" s="313">
        <v>70</v>
      </c>
      <c r="B327" s="312">
        <v>95</v>
      </c>
      <c r="C327" s="83" t="s">
        <v>279</v>
      </c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</row>
    <row r="328" spans="1:256" ht="15" customHeight="1">
      <c r="A328" s="313">
        <v>95</v>
      </c>
      <c r="B328" s="312">
        <v>120</v>
      </c>
      <c r="C328" s="83" t="s">
        <v>280</v>
      </c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</row>
    <row r="329" spans="1:256" ht="15" customHeight="1">
      <c r="A329" s="313">
        <v>120</v>
      </c>
      <c r="B329" s="312">
        <v>150</v>
      </c>
      <c r="C329" s="83" t="s">
        <v>281</v>
      </c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</row>
    <row r="330" spans="1:256" ht="15" customHeight="1">
      <c r="A330" s="313">
        <v>150</v>
      </c>
      <c r="B330" s="312">
        <v>185</v>
      </c>
      <c r="C330" s="83" t="s">
        <v>282</v>
      </c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</row>
    <row r="331" spans="1:256" ht="15" customHeight="1" thickBot="1">
      <c r="A331" s="314">
        <v>185</v>
      </c>
      <c r="B331" s="315">
        <v>240</v>
      </c>
      <c r="C331" s="1" t="s">
        <v>297</v>
      </c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</row>
    <row r="332" spans="1:256" ht="16" thickTop="1" thickBo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</row>
    <row r="333" spans="1:256" ht="15" customHeight="1" thickTop="1">
      <c r="A333" s="205" t="s">
        <v>337</v>
      </c>
      <c r="B333" s="206"/>
      <c r="C333" s="206"/>
      <c r="D333" s="206"/>
      <c r="E333" s="206"/>
      <c r="F333" s="206"/>
      <c r="G333" s="206"/>
      <c r="H333" s="206"/>
      <c r="I333" s="207"/>
      <c r="J333" s="83"/>
      <c r="K333" s="83"/>
      <c r="L333" s="83"/>
      <c r="M333" s="83"/>
      <c r="N333" s="83"/>
      <c r="O333" s="83"/>
    </row>
    <row r="334" spans="1:256" ht="15" customHeight="1">
      <c r="A334" s="316" t="s">
        <v>322</v>
      </c>
      <c r="B334" s="147"/>
      <c r="C334" s="147"/>
      <c r="D334" s="147"/>
      <c r="E334" s="96"/>
      <c r="F334" s="96"/>
      <c r="G334" s="96"/>
      <c r="H334" s="151"/>
      <c r="I334" s="317"/>
      <c r="J334" s="83"/>
      <c r="K334" s="83"/>
      <c r="L334" s="83"/>
      <c r="M334" s="83"/>
      <c r="N334" s="83"/>
      <c r="O334" s="83"/>
    </row>
    <row r="335" spans="1:256" ht="15" customHeight="1">
      <c r="A335" s="195" t="s">
        <v>109</v>
      </c>
      <c r="B335" s="49" t="s">
        <v>80</v>
      </c>
      <c r="C335" s="49" t="s">
        <v>168</v>
      </c>
      <c r="D335" s="49" t="s">
        <v>311</v>
      </c>
      <c r="E335" s="82" t="s">
        <v>68</v>
      </c>
      <c r="F335" s="49" t="s">
        <v>313</v>
      </c>
      <c r="G335" s="51" t="s">
        <v>112</v>
      </c>
      <c r="H335" s="55" t="s">
        <v>117</v>
      </c>
      <c r="I335" s="318"/>
      <c r="J335" s="83"/>
      <c r="K335" s="83"/>
      <c r="L335" s="83"/>
      <c r="M335" s="83"/>
      <c r="N335" s="83"/>
      <c r="O335" s="83"/>
      <c r="IU335" s="154"/>
      <c r="IV335" s="154"/>
    </row>
    <row r="336" spans="1:256" ht="15" customHeight="1">
      <c r="A336" s="199" t="s">
        <v>110</v>
      </c>
      <c r="B336" s="52"/>
      <c r="C336" s="52" t="s">
        <v>169</v>
      </c>
      <c r="D336" s="52" t="s">
        <v>312</v>
      </c>
      <c r="E336" s="52" t="s">
        <v>79</v>
      </c>
      <c r="F336" s="52" t="s">
        <v>170</v>
      </c>
      <c r="G336" s="53" t="s">
        <v>109</v>
      </c>
      <c r="H336" s="53" t="s">
        <v>118</v>
      </c>
      <c r="I336" s="319"/>
      <c r="J336" s="83"/>
      <c r="K336" s="83"/>
      <c r="L336" s="83"/>
      <c r="M336" s="83"/>
      <c r="N336" s="83"/>
      <c r="O336" s="83"/>
      <c r="IU336" s="154"/>
      <c r="IV336" s="154"/>
    </row>
    <row r="337" spans="1:256" ht="15" customHeight="1">
      <c r="A337" s="195" t="s">
        <v>111</v>
      </c>
      <c r="B337" s="49" t="s">
        <v>43</v>
      </c>
      <c r="C337" s="49" t="s">
        <v>310</v>
      </c>
      <c r="D337" s="49" t="s">
        <v>42</v>
      </c>
      <c r="E337" s="49" t="s">
        <v>42</v>
      </c>
      <c r="F337" s="49" t="s">
        <v>50</v>
      </c>
      <c r="G337" s="51" t="s">
        <v>113</v>
      </c>
      <c r="H337" s="49" t="s">
        <v>119</v>
      </c>
      <c r="I337" s="320"/>
      <c r="J337" s="83"/>
      <c r="K337" s="83"/>
      <c r="L337" s="83"/>
      <c r="M337" s="83"/>
      <c r="N337" s="83"/>
      <c r="O337" s="83"/>
      <c r="IU337" s="154"/>
      <c r="IV337" s="154"/>
    </row>
    <row r="338" spans="1:256" ht="15" customHeight="1">
      <c r="A338" s="321">
        <v>28</v>
      </c>
      <c r="B338" s="166">
        <v>7</v>
      </c>
      <c r="C338" s="166">
        <v>64</v>
      </c>
      <c r="D338" s="166">
        <v>2.5</v>
      </c>
      <c r="E338" s="167">
        <f>+C338*D338</f>
        <v>160</v>
      </c>
      <c r="F338" s="167">
        <f>+E338*(3600/B338)/1000</f>
        <v>82.285714285714292</v>
      </c>
      <c r="G338" s="168">
        <f>+A338/F338</f>
        <v>0.34027777777777773</v>
      </c>
      <c r="H338" s="169">
        <v>0.15</v>
      </c>
      <c r="I338" s="322"/>
      <c r="J338" s="83"/>
      <c r="K338" s="83"/>
      <c r="L338" s="83"/>
      <c r="M338" s="83"/>
      <c r="N338" s="83"/>
      <c r="O338" s="83"/>
      <c r="IU338" s="154"/>
      <c r="IV338" s="154"/>
    </row>
    <row r="339" spans="1:256">
      <c r="A339" s="323" t="s">
        <v>321</v>
      </c>
      <c r="B339" s="162"/>
      <c r="C339" s="162"/>
      <c r="D339" s="162"/>
      <c r="E339" s="163"/>
      <c r="F339" s="163"/>
      <c r="G339" s="163"/>
      <c r="H339" s="163"/>
      <c r="I339" s="324"/>
      <c r="J339" s="83"/>
      <c r="K339" s="83"/>
      <c r="L339" s="83"/>
      <c r="M339" s="83"/>
      <c r="N339" s="83"/>
      <c r="O339" s="83"/>
    </row>
    <row r="340" spans="1:256" ht="15" customHeight="1">
      <c r="A340" s="195" t="s">
        <v>17</v>
      </c>
      <c r="B340" s="49" t="s">
        <v>112</v>
      </c>
      <c r="C340" s="49" t="s">
        <v>84</v>
      </c>
      <c r="D340" s="49" t="s">
        <v>315</v>
      </c>
      <c r="E340" s="49"/>
      <c r="F340" s="49"/>
      <c r="G340" s="49"/>
      <c r="H340" s="49"/>
      <c r="I340" s="196"/>
      <c r="J340" s="87"/>
      <c r="K340" s="87"/>
      <c r="L340" s="83"/>
      <c r="M340" s="83"/>
      <c r="N340" s="83"/>
      <c r="O340" s="83"/>
    </row>
    <row r="341" spans="1:256" ht="15" customHeight="1">
      <c r="A341" s="199" t="s">
        <v>324</v>
      </c>
      <c r="B341" s="52" t="s">
        <v>325</v>
      </c>
      <c r="C341" s="52" t="s">
        <v>326</v>
      </c>
      <c r="D341" s="52" t="s">
        <v>316</v>
      </c>
      <c r="E341" s="52"/>
      <c r="F341" s="52"/>
      <c r="G341" s="52"/>
      <c r="H341" s="52"/>
      <c r="I341" s="194"/>
      <c r="J341" s="87"/>
      <c r="K341" s="87"/>
      <c r="L341" s="83"/>
      <c r="M341" s="83"/>
      <c r="N341" s="83"/>
      <c r="O341" s="83"/>
    </row>
    <row r="342" spans="1:256" ht="15" customHeight="1">
      <c r="A342" s="195" t="s">
        <v>192</v>
      </c>
      <c r="B342" s="49" t="s">
        <v>255</v>
      </c>
      <c r="C342" s="49" t="s">
        <v>111</v>
      </c>
      <c r="D342" s="49"/>
      <c r="E342" s="49"/>
      <c r="F342" s="49"/>
      <c r="G342" s="49"/>
      <c r="H342" s="49"/>
      <c r="I342" s="196"/>
      <c r="J342" s="87"/>
      <c r="K342" s="87"/>
      <c r="L342" s="83"/>
      <c r="M342" s="83"/>
      <c r="N342" s="83"/>
      <c r="O342" s="83"/>
    </row>
    <row r="343" spans="1:256" ht="15" customHeight="1">
      <c r="A343" s="325">
        <v>5</v>
      </c>
      <c r="B343" s="171">
        <v>0.4</v>
      </c>
      <c r="C343" s="172">
        <f>+A343*B343</f>
        <v>2</v>
      </c>
      <c r="D343" s="166">
        <v>5</v>
      </c>
      <c r="E343" s="172"/>
      <c r="F343" s="172"/>
      <c r="G343" s="172"/>
      <c r="H343" s="172"/>
      <c r="I343" s="326"/>
      <c r="J343" s="87"/>
      <c r="K343" s="87"/>
      <c r="L343" s="83"/>
      <c r="M343" s="83"/>
      <c r="N343" s="83"/>
      <c r="O343" s="83"/>
    </row>
    <row r="344" spans="1:256">
      <c r="A344" s="323" t="s">
        <v>323</v>
      </c>
      <c r="B344" s="164"/>
      <c r="C344" s="164"/>
      <c r="D344" s="164"/>
      <c r="E344" s="165"/>
      <c r="F344" s="165"/>
      <c r="G344" s="165"/>
      <c r="H344" s="165"/>
      <c r="I344" s="327"/>
      <c r="J344" s="83"/>
      <c r="K344" s="83"/>
      <c r="L344" s="83"/>
      <c r="M344" s="83"/>
      <c r="N344" s="83"/>
      <c r="O344" s="83"/>
    </row>
    <row r="345" spans="1:256">
      <c r="A345" s="328" t="s">
        <v>117</v>
      </c>
      <c r="B345" s="148" t="s">
        <v>114</v>
      </c>
      <c r="C345" s="148" t="s">
        <v>306</v>
      </c>
      <c r="D345" s="148" t="s">
        <v>114</v>
      </c>
      <c r="E345" s="148" t="s">
        <v>308</v>
      </c>
      <c r="F345" s="148"/>
      <c r="G345" s="148"/>
      <c r="H345" s="148" t="s">
        <v>81</v>
      </c>
      <c r="I345" s="318" t="s">
        <v>81</v>
      </c>
      <c r="J345" s="83"/>
      <c r="K345" s="83"/>
      <c r="L345" s="83"/>
      <c r="M345" s="83"/>
      <c r="N345" s="83"/>
      <c r="O345" s="83"/>
    </row>
    <row r="346" spans="1:256">
      <c r="A346" s="329" t="s">
        <v>304</v>
      </c>
      <c r="B346" s="149" t="s">
        <v>305</v>
      </c>
      <c r="C346" s="149" t="s">
        <v>307</v>
      </c>
      <c r="D346" s="149" t="s">
        <v>115</v>
      </c>
      <c r="E346" s="149" t="s">
        <v>309</v>
      </c>
      <c r="F346" s="149"/>
      <c r="G346" s="149"/>
      <c r="H346" s="149" t="s">
        <v>332</v>
      </c>
      <c r="I346" s="319" t="s">
        <v>331</v>
      </c>
      <c r="J346" s="83"/>
      <c r="K346" s="83"/>
      <c r="L346" s="83"/>
      <c r="M346" s="83"/>
      <c r="N346" s="83"/>
      <c r="O346" s="83"/>
    </row>
    <row r="347" spans="1:256">
      <c r="A347" s="328" t="s">
        <v>119</v>
      </c>
      <c r="B347" s="148" t="s">
        <v>114</v>
      </c>
      <c r="C347" s="148" t="s">
        <v>306</v>
      </c>
      <c r="D347" s="148" t="s">
        <v>120</v>
      </c>
      <c r="E347" s="148" t="s">
        <v>308</v>
      </c>
      <c r="F347" s="161"/>
      <c r="G347" s="161"/>
      <c r="H347" s="51" t="s">
        <v>330</v>
      </c>
      <c r="I347" s="330" t="s">
        <v>330</v>
      </c>
      <c r="J347" s="83"/>
      <c r="K347" s="83"/>
      <c r="L347" s="83"/>
      <c r="M347" s="83"/>
      <c r="N347" s="83"/>
      <c r="O347" s="83"/>
    </row>
    <row r="348" spans="1:256">
      <c r="A348" s="331">
        <v>230000</v>
      </c>
      <c r="B348" s="173">
        <v>24</v>
      </c>
      <c r="C348" s="173">
        <v>350</v>
      </c>
      <c r="D348" s="167">
        <f>+B348*C348</f>
        <v>8400</v>
      </c>
      <c r="E348" s="166">
        <v>3</v>
      </c>
      <c r="F348" s="150"/>
      <c r="G348" s="150"/>
      <c r="H348" s="174">
        <f>+C338*(3600/B338)*B348</f>
        <v>789942.85714285728</v>
      </c>
      <c r="I348" s="332">
        <f>+C338*(3600/B338)*D348</f>
        <v>276480000</v>
      </c>
      <c r="J348" s="83"/>
      <c r="K348" s="83"/>
      <c r="L348" s="83"/>
      <c r="M348" s="83"/>
      <c r="N348" s="83"/>
      <c r="O348" s="83"/>
    </row>
    <row r="349" spans="1:256">
      <c r="A349" s="323" t="s">
        <v>320</v>
      </c>
      <c r="B349" s="162"/>
      <c r="C349" s="162"/>
      <c r="D349" s="162"/>
      <c r="E349" s="163"/>
      <c r="F349" s="163"/>
      <c r="G349" s="163"/>
      <c r="H349" s="163"/>
      <c r="I349" s="324"/>
      <c r="J349" s="83"/>
      <c r="K349" s="83"/>
      <c r="L349" s="83"/>
      <c r="M349" s="83"/>
      <c r="N349" s="83"/>
      <c r="O349" s="83"/>
    </row>
    <row r="350" spans="1:256" ht="15" customHeight="1">
      <c r="A350" s="195" t="s">
        <v>174</v>
      </c>
      <c r="B350" s="49" t="s">
        <v>174</v>
      </c>
      <c r="C350" s="49" t="s">
        <v>82</v>
      </c>
      <c r="D350" s="49" t="s">
        <v>252</v>
      </c>
      <c r="E350" s="49" t="s">
        <v>252</v>
      </c>
      <c r="F350" s="49" t="s">
        <v>84</v>
      </c>
      <c r="G350" s="49" t="s">
        <v>84</v>
      </c>
      <c r="H350" s="49" t="s">
        <v>84</v>
      </c>
      <c r="I350" s="196" t="s">
        <v>315</v>
      </c>
      <c r="J350" s="87"/>
      <c r="K350" s="87"/>
      <c r="L350" s="83"/>
      <c r="M350" s="83"/>
      <c r="N350" s="83"/>
      <c r="O350" s="83"/>
    </row>
    <row r="351" spans="1:256" ht="15" customHeight="1">
      <c r="A351" s="199" t="s">
        <v>250</v>
      </c>
      <c r="B351" s="52" t="s">
        <v>256</v>
      </c>
      <c r="C351" s="52"/>
      <c r="D351" s="52" t="s">
        <v>314</v>
      </c>
      <c r="E351" s="52" t="s">
        <v>253</v>
      </c>
      <c r="F351" s="52" t="s">
        <v>169</v>
      </c>
      <c r="G351" s="52" t="s">
        <v>169</v>
      </c>
      <c r="H351" s="52" t="s">
        <v>254</v>
      </c>
      <c r="I351" s="194" t="s">
        <v>316</v>
      </c>
      <c r="J351" s="87"/>
      <c r="K351" s="87"/>
      <c r="L351" s="83"/>
      <c r="M351" s="83"/>
      <c r="N351" s="83"/>
      <c r="O351" s="83"/>
    </row>
    <row r="352" spans="1:256" ht="15" customHeight="1">
      <c r="A352" s="195" t="s">
        <v>111</v>
      </c>
      <c r="B352" s="49" t="s">
        <v>255</v>
      </c>
      <c r="C352" s="49" t="s">
        <v>83</v>
      </c>
      <c r="D352" s="49" t="s">
        <v>72</v>
      </c>
      <c r="E352" s="49" t="s">
        <v>72</v>
      </c>
      <c r="F352" s="49" t="s">
        <v>54</v>
      </c>
      <c r="G352" s="49" t="s">
        <v>111</v>
      </c>
      <c r="H352" s="49" t="s">
        <v>111</v>
      </c>
      <c r="I352" s="196"/>
      <c r="J352" s="87"/>
      <c r="K352" s="87"/>
      <c r="L352" s="83"/>
      <c r="M352" s="83"/>
      <c r="N352" s="83"/>
      <c r="O352" s="83"/>
    </row>
    <row r="353" spans="1:15" ht="15" customHeight="1">
      <c r="A353" s="325">
        <v>50</v>
      </c>
      <c r="B353" s="171">
        <v>0.6</v>
      </c>
      <c r="C353" s="170">
        <v>0.84</v>
      </c>
      <c r="D353" s="170">
        <v>50</v>
      </c>
      <c r="E353" s="170">
        <v>220</v>
      </c>
      <c r="F353" s="172">
        <f>+C353*0.238845*F338*(E353-D353)</f>
        <v>2806.5242880000005</v>
      </c>
      <c r="G353" s="172">
        <f>+F353/860</f>
        <v>3.2634003348837215</v>
      </c>
      <c r="H353" s="172">
        <f>+A353*B353+G353</f>
        <v>33.26340033488372</v>
      </c>
      <c r="I353" s="333">
        <v>5</v>
      </c>
      <c r="J353" s="87"/>
      <c r="K353" s="87"/>
      <c r="L353" s="83"/>
      <c r="M353" s="83"/>
      <c r="N353" s="83"/>
      <c r="O353" s="83"/>
    </row>
    <row r="354" spans="1:15">
      <c r="A354" s="323" t="s">
        <v>317</v>
      </c>
      <c r="B354" s="164"/>
      <c r="C354" s="164"/>
      <c r="D354" s="164"/>
      <c r="E354" s="165"/>
      <c r="F354" s="165"/>
      <c r="G354" s="165"/>
      <c r="H354" s="165"/>
      <c r="I354" s="327"/>
      <c r="J354" s="83"/>
      <c r="K354" s="83"/>
      <c r="L354" s="83"/>
      <c r="M354" s="83"/>
      <c r="N354" s="83"/>
      <c r="O354" s="83"/>
    </row>
    <row r="355" spans="1:15">
      <c r="A355" s="328" t="s">
        <v>109</v>
      </c>
      <c r="B355" s="148" t="s">
        <v>84</v>
      </c>
      <c r="C355" s="148" t="s">
        <v>117</v>
      </c>
      <c r="D355" s="148" t="s">
        <v>84</v>
      </c>
      <c r="E355" s="148"/>
      <c r="F355" s="148" t="s">
        <v>117</v>
      </c>
      <c r="G355" s="148"/>
      <c r="H355" s="148"/>
      <c r="I355" s="330" t="s">
        <v>117</v>
      </c>
      <c r="J355" s="83"/>
      <c r="K355" s="83"/>
      <c r="L355" s="83"/>
      <c r="M355" s="83"/>
      <c r="N355" s="83"/>
      <c r="O355" s="83"/>
    </row>
    <row r="356" spans="1:15">
      <c r="A356" s="329" t="s">
        <v>318</v>
      </c>
      <c r="B356" s="149" t="s">
        <v>327</v>
      </c>
      <c r="C356" s="149" t="s">
        <v>309</v>
      </c>
      <c r="D356" s="149" t="s">
        <v>251</v>
      </c>
      <c r="E356" s="149"/>
      <c r="F356" s="149" t="s">
        <v>319</v>
      </c>
      <c r="G356" s="149"/>
      <c r="H356" s="149"/>
      <c r="I356" s="334" t="s">
        <v>329</v>
      </c>
      <c r="J356" s="83"/>
      <c r="K356" s="83"/>
      <c r="L356" s="83"/>
      <c r="M356" s="83"/>
      <c r="N356" s="83"/>
      <c r="O356" s="83"/>
    </row>
    <row r="357" spans="1:15">
      <c r="A357" s="328" t="s">
        <v>328</v>
      </c>
      <c r="B357" s="148" t="s">
        <v>328</v>
      </c>
      <c r="C357" s="148" t="s">
        <v>328</v>
      </c>
      <c r="D357" s="148" t="s">
        <v>328</v>
      </c>
      <c r="E357" s="161"/>
      <c r="F357" s="148" t="s">
        <v>328</v>
      </c>
      <c r="G357" s="161"/>
      <c r="H357" s="161"/>
      <c r="I357" s="330" t="s">
        <v>119</v>
      </c>
      <c r="J357" s="83"/>
      <c r="K357" s="83"/>
      <c r="L357" s="83"/>
      <c r="M357" s="83"/>
      <c r="N357" s="83"/>
      <c r="O357" s="83"/>
    </row>
    <row r="358" spans="1:15" ht="15" thickBot="1">
      <c r="A358" s="335">
        <f>+G338*F338*H338</f>
        <v>4.2</v>
      </c>
      <c r="B358" s="336">
        <f>+C343*H338/D343</f>
        <v>0.06</v>
      </c>
      <c r="C358" s="336">
        <f>+A348/(D348*E348)</f>
        <v>9.1269841269841265</v>
      </c>
      <c r="D358" s="336">
        <f>+H338*H353/I353</f>
        <v>0.99790201004651158</v>
      </c>
      <c r="E358" s="337"/>
      <c r="F358" s="336">
        <f>+A358+B358++C358+D358</f>
        <v>14.384886137030637</v>
      </c>
      <c r="G358" s="337"/>
      <c r="H358" s="337"/>
      <c r="I358" s="338">
        <f>+F358/(C338*(3600/B338))</f>
        <v>4.3704081145492385E-4</v>
      </c>
      <c r="J358" s="83"/>
      <c r="K358" s="83"/>
      <c r="L358" s="83"/>
      <c r="M358" s="83"/>
      <c r="N358" s="83"/>
      <c r="O358" s="83"/>
    </row>
    <row r="359" spans="1:15" ht="15" thickTop="1"/>
  </sheetData>
  <sheetProtection password="CCA5" sheet="1" objects="1" scenarios="1"/>
  <sortState ref="A97:C110">
    <sortCondition ref="A97:A110"/>
  </sortState>
  <mergeCells count="1">
    <mergeCell ref="A46:D46"/>
  </mergeCells>
  <phoneticPr fontId="14" type="noConversion"/>
  <pageMargins left="0.5" right="0.31" top="0.95000000000000007" bottom="0.36000000000000004" header="0.5" footer="0.30000000000000004"/>
  <pageSetup paperSize="9" scale="72" fitToHeight="6" orientation="portrait" horizontalDpi="4294967292" verticalDpi="4294967292"/>
  <headerFooter alignWithMargins="0">
    <oddHeader>&amp;C&amp;"Calibri,Grassetto"&amp;16&amp;K538DD5&amp;A&amp;R&amp;14&amp;K538DD5Pagina &amp;P</oddHeader>
  </headerFooter>
  <drawing r:id="rId1"/>
  <legacy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GART-MP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Flavio Fabbrigiotti</cp:lastModifiedBy>
  <cp:lastPrinted>2016-11-10T14:58:56Z</cp:lastPrinted>
  <dcterms:created xsi:type="dcterms:W3CDTF">2014-12-11T20:41:47Z</dcterms:created>
  <dcterms:modified xsi:type="dcterms:W3CDTF">2019-01-16T16:08:16Z</dcterms:modified>
</cp:coreProperties>
</file>